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3" activeTab="3"/>
  </bookViews>
  <sheets>
    <sheet name="obl średniej" sheetId="1" r:id="rId1"/>
    <sheet name="koszt wg średniej " sheetId="2" r:id="rId2"/>
    <sheet name="kosztorys ofertowy2016" sheetId="3" r:id="rId3"/>
    <sheet name="kosztorys ofertowy 2018" sheetId="4" r:id="rId4"/>
  </sheets>
  <definedNames/>
  <calcPr fullCalcOnLoad="1"/>
</workbook>
</file>

<file path=xl/sharedStrings.xml><?xml version="1.0" encoding="utf-8"?>
<sst xmlns="http://schemas.openxmlformats.org/spreadsheetml/2006/main" count="271" uniqueCount="71">
  <si>
    <t>Opis</t>
  </si>
  <si>
    <t>a</t>
  </si>
  <si>
    <t>b</t>
  </si>
  <si>
    <t>c</t>
  </si>
  <si>
    <t>d</t>
  </si>
  <si>
    <t>e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</si>
  <si>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remontu,</t>
  </si>
  <si>
    <t>mechaniczne wycięcie frezarką uszkodzonych miejsc nawierzchni z nadaniem regularnych kształtów,</t>
  </si>
  <si>
    <t>Poz.</t>
  </si>
  <si>
    <t>oczyszczenie uszkodzonych miejsc z usunięciem i wywozem rumoszu,</t>
  </si>
  <si>
    <t>skropienie naprawianego miejsca wraz z krawędziami szybkorozpadową emulsją asfaltową K-65,</t>
  </si>
  <si>
    <t>mechaniczne rozścielenie mieszanki mineralno-bitumicznej wytworzonej na gorąco, standard IIa o lepiszczu asfaltowym z mechanicznym zagęszczeniem,</t>
  </si>
  <si>
    <t>-</t>
  </si>
  <si>
    <t>ręczne rozścielenie mieszanki mineralno-bitumicznej wytworzonej na gorąco, standard IIa o lepiszczu asfaltowym z mechanicznym zagęszczeniem,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</si>
  <si>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</t>
  </si>
  <si>
    <t>oczyszczenie i skropienie naprawianego miejsca wraz z krawędziami szybkorozpadową emulsją asfaltową K-65,</t>
  </si>
  <si>
    <t>Obmiar [m2]</t>
  </si>
  <si>
    <t>Wartość robót brutto [zł]</t>
  </si>
  <si>
    <t>RAZEM BRUTTO:</t>
  </si>
  <si>
    <t>Cena jednostkowa brutto  [zł/m2]</t>
  </si>
  <si>
    <t>RAZEM NETTO:</t>
  </si>
  <si>
    <t>VAT 23%:</t>
  </si>
  <si>
    <t>technologie</t>
  </si>
  <si>
    <t>cena jedn</t>
  </si>
  <si>
    <t>wartość brutto</t>
  </si>
  <si>
    <t>ilość [m2]</t>
  </si>
  <si>
    <t>razem ilość w 2012r</t>
  </si>
  <si>
    <t>ogółem przedm</t>
  </si>
  <si>
    <t>a1</t>
  </si>
  <si>
    <t>różnica</t>
  </si>
  <si>
    <t xml:space="preserve"> /4</t>
  </si>
  <si>
    <t xml:space="preserve">poniżej sama pow rem cz bez przelicania dod grubości </t>
  </si>
  <si>
    <t>powyżej pow rem cz z przeliczeniem gr &gt; 4cm na dodatkową pow</t>
  </si>
  <si>
    <t>b1</t>
  </si>
  <si>
    <t>c1</t>
  </si>
  <si>
    <t>d1</t>
  </si>
  <si>
    <t xml:space="preserve">KOSZTORYS INWESTORSKI </t>
  </si>
  <si>
    <t>dodatek za każdy 1 cm grubości wykonywanego remontu ponad 4 cm w technologii opisanej w pkt b</t>
  </si>
  <si>
    <t>dodatek za każdy 1 cm grubości wykonywanego remontu ponad 4 cm w technologii opisanej w pkt a</t>
  </si>
  <si>
    <t>dodatek za każdy 1 cm grubości wykonywanego remontu ponad 4 cm w technologii opisanej w pkt c</t>
  </si>
  <si>
    <t>dodatek za każdy 1 cm grubości wykonywanego remontu ponad 4 cm w technologii opisanej w pkt d</t>
  </si>
  <si>
    <t>remont cząstkowy mieszanką mineralno-bitumiczną standard IIa o lepiszczu asfaltowym, produkowaną i wbudowywaną na gorąco przy grubości wyboju 4 cm i zachowaniu następującej technologii prac:</t>
  </si>
  <si>
    <t>remont cząstkowy mieszanką mineralno-bitumiczną standard IIa o lepiszczu asfaltowym, produkowaną i wbudowywaną na zimno przy grubości wyboju 4 cm i zachowaniu następującej technologii prac:</t>
  </si>
  <si>
    <t>remont cząstkowy przy pomocy urządzenia „PATCHER” do dwufrakcyjnego dozowania pod ciśnieniem grysów i emulsji, przy grubości wyboju do 2 cm</t>
  </si>
  <si>
    <t xml:space="preserve">zamówienia uzupełniające w wysokości 50 % zamówienia podstawowego </t>
  </si>
  <si>
    <t>razem wartość zamówienia netto</t>
  </si>
  <si>
    <t>KOSZTORYS OFERTOWY</t>
  </si>
  <si>
    <t>razem</t>
  </si>
  <si>
    <t>razem ilość w 2015r</t>
  </si>
  <si>
    <t>lata 2012-2014</t>
  </si>
  <si>
    <t xml:space="preserve">średnia </t>
  </si>
  <si>
    <t>REMONTY CZĄSTKOWE NAWIWERZCHNI BITUMICZNYCH DRÓG I ULIC MIASTA LESZNA W  2016ROKU</t>
  </si>
  <si>
    <t>przedmiar ustalono jako średnią z ostatnich 4 lat powiększ o 30 % a ceny jednostkowe z 2015r powiększone o 5%</t>
  </si>
  <si>
    <t>REMONTY CZĄSTKOWE NAWIWERZCHNI BITUMICZNYCH DRÓG I ULIC MIASTA LESZNA W  2016 ROKU</t>
  </si>
  <si>
    <t> ręczne rozścielenie mieszanki mineralno-bitumicznej wytworzonej na zimno, standard IIa o lepiszczu asfaltowym z mechanicznym zagęszczeniem,</t>
  </si>
  <si>
    <t>wycięcie  uszkodzonych  miejsc  nawierzchni  z nadaniem regularnych kształtów</t>
  </si>
  <si>
    <t xml:space="preserve"> -</t>
  </si>
  <si>
    <t>f</t>
  </si>
  <si>
    <t xml:space="preserve">Obmiar </t>
  </si>
  <si>
    <t>Jednostka</t>
  </si>
  <si>
    <t>m2</t>
  </si>
  <si>
    <t>mb</t>
  </si>
  <si>
    <t xml:space="preserve">Cena jednostkowa brutto  </t>
  </si>
  <si>
    <t>Wypełnienie pęknięć nawierzchni masą zalewową o elastyczności nie mniejszej niż 50% przy zachowaniu następującej technologii prac:</t>
  </si>
  <si>
    <t xml:space="preserve"> - </t>
  </si>
  <si>
    <t>wykonanie nacięcia warstwy ścieralnej w miejscu spękania lub rysy</t>
  </si>
  <si>
    <t xml:space="preserve">oczyszczenie uszkodzonych miejsc </t>
  </si>
  <si>
    <t>wypełnienie masą zalewową o elastyczności nie mniejszej niż 50%</t>
  </si>
  <si>
    <t>REMONTY CZĄSTKOWE NAWIERZCHNI BITUMICZNYCH DRÓG I ULIC MIASTA LESZNA W  2018 ROKU</t>
  </si>
  <si>
    <t>Załącznik Nr 1a do SIWZ</t>
  </si>
  <si>
    <t>remont cząstkowy przy pomocy urządzenia typu „PATCHER” do dwufrakcyjnego dozowania pod ciśnieniem grysów i emulsji, przy grubości wyboju do 2 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</si>
</sst>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[$€-2]\ * #,##0.00_-;\-[$€-2]\ * #,##0.00_-;_-[$€-2]\ * &quot;-&quot;??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/>
    </xf>
    <xf numFmtId="4" fontId="45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right" vertical="top" wrapText="1"/>
    </xf>
    <xf numFmtId="0" fontId="48" fillId="0" borderId="17" xfId="0" applyFont="1" applyBorder="1" applyAlignment="1">
      <alignment horizontal="left" vertical="center" wrapText="1"/>
    </xf>
    <xf numFmtId="4" fontId="45" fillId="0" borderId="18" xfId="0" applyNumberFormat="1" applyFont="1" applyBorder="1" applyAlignment="1">
      <alignment horizontal="right" vertical="top" wrapText="1"/>
    </xf>
    <xf numFmtId="0" fontId="48" fillId="0" borderId="19" xfId="0" applyFont="1" applyBorder="1" applyAlignment="1">
      <alignment horizontal="left" vertical="center" wrapText="1"/>
    </xf>
    <xf numFmtId="4" fontId="48" fillId="0" borderId="16" xfId="0" applyNumberFormat="1" applyFont="1" applyBorder="1" applyAlignment="1">
      <alignment horizontal="right" vertical="top" wrapText="1"/>
    </xf>
    <xf numFmtId="4" fontId="48" fillId="0" borderId="1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0" xfId="60" applyFont="1" applyAlignment="1">
      <alignment vertical="center"/>
    </xf>
    <xf numFmtId="44" fontId="45" fillId="0" borderId="12" xfId="60" applyFont="1" applyBorder="1" applyAlignment="1">
      <alignment horizontal="center" vertical="center" wrapText="1"/>
    </xf>
    <xf numFmtId="44" fontId="45" fillId="0" borderId="13" xfId="6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45" fillId="0" borderId="10" xfId="6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/>
    </xf>
    <xf numFmtId="44" fontId="44" fillId="0" borderId="0" xfId="60" applyFont="1" applyAlignment="1">
      <alignment horizontal="center"/>
    </xf>
    <xf numFmtId="44" fontId="44" fillId="0" borderId="0" xfId="0" applyNumberFormat="1" applyFont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44" fontId="44" fillId="0" borderId="11" xfId="60" applyFont="1" applyBorder="1" applyAlignment="1">
      <alignment horizontal="center" vertical="center" wrapText="1"/>
    </xf>
    <xf numFmtId="44" fontId="44" fillId="0" borderId="12" xfId="60" applyFont="1" applyBorder="1" applyAlignment="1">
      <alignment horizontal="center" vertical="center" wrapText="1"/>
    </xf>
    <xf numFmtId="44" fontId="44" fillId="0" borderId="13" xfId="60" applyFont="1" applyBorder="1" applyAlignment="1">
      <alignment horizontal="center" vertical="center" wrapText="1"/>
    </xf>
    <xf numFmtId="44" fontId="0" fillId="0" borderId="0" xfId="60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33" borderId="0" xfId="6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6" borderId="0" xfId="0" applyFill="1" applyAlignment="1">
      <alignment/>
    </xf>
    <xf numFmtId="9" fontId="0" fillId="0" borderId="0" xfId="54" applyFont="1" applyAlignment="1">
      <alignment/>
    </xf>
    <xf numFmtId="2" fontId="0" fillId="0" borderId="0" xfId="60" applyNumberFormat="1" applyFont="1" applyAlignment="1">
      <alignment/>
    </xf>
    <xf numFmtId="0" fontId="48" fillId="0" borderId="19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top" wrapText="1"/>
    </xf>
    <xf numFmtId="44" fontId="0" fillId="0" borderId="10" xfId="60" applyFont="1" applyBorder="1" applyAlignment="1">
      <alignment vertical="center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  <xf numFmtId="4" fontId="48" fillId="35" borderId="16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4" fontId="46" fillId="0" borderId="10" xfId="0" applyNumberFormat="1" applyFont="1" applyBorder="1" applyAlignment="1">
      <alignment horizontal="center" vertical="center" wrapText="1"/>
    </xf>
    <xf numFmtId="44" fontId="0" fillId="0" borderId="0" xfId="60" applyFont="1" applyAlignment="1" applyProtection="1">
      <alignment vertical="center"/>
      <protection locked="0"/>
    </xf>
    <xf numFmtId="44" fontId="45" fillId="0" borderId="10" xfId="60" applyFont="1" applyBorder="1" applyAlignment="1" applyProtection="1">
      <alignment horizontal="center" vertical="center" wrapText="1"/>
      <protection locked="0"/>
    </xf>
    <xf numFmtId="44" fontId="0" fillId="0" borderId="10" xfId="60" applyFont="1" applyBorder="1" applyAlignment="1" applyProtection="1">
      <alignment vertical="center"/>
      <protection locked="0"/>
    </xf>
    <xf numFmtId="44" fontId="49" fillId="0" borderId="14" xfId="60" applyFont="1" applyBorder="1" applyAlignment="1">
      <alignment horizontal="right" vertical="center"/>
    </xf>
    <xf numFmtId="44" fontId="49" fillId="0" borderId="15" xfId="60" applyFont="1" applyBorder="1" applyAlignment="1">
      <alignment horizontal="right" vertical="center"/>
    </xf>
    <xf numFmtId="44" fontId="49" fillId="0" borderId="20" xfId="60" applyFont="1" applyBorder="1" applyAlignment="1">
      <alignment horizontal="right"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center" vertical="top" wrapText="1"/>
    </xf>
    <xf numFmtId="4" fontId="48" fillId="0" borderId="2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4" fontId="48" fillId="0" borderId="20" xfId="0" applyNumberFormat="1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left" vertical="top" wrapText="1"/>
    </xf>
    <xf numFmtId="4" fontId="48" fillId="0" borderId="20" xfId="0" applyNumberFormat="1" applyFont="1" applyBorder="1" applyAlignment="1">
      <alignment horizontal="left" vertical="top" wrapText="1"/>
    </xf>
    <xf numFmtId="0" fontId="48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zoomScale="80" zoomScaleNormal="80" zoomScalePageLayoutView="0" workbookViewId="0" topLeftCell="A65">
      <selection activeCell="G115" sqref="G115"/>
    </sheetView>
  </sheetViews>
  <sheetFormatPr defaultColWidth="8.796875" defaultRowHeight="14.25"/>
  <cols>
    <col min="4" max="6" width="11.09765625" style="0" bestFit="1" customWidth="1"/>
    <col min="7" max="7" width="14" style="0" customWidth="1"/>
    <col min="8" max="8" width="11.09765625" style="0" bestFit="1" customWidth="1"/>
    <col min="9" max="9" width="10.69921875" style="0" customWidth="1"/>
    <col min="10" max="10" width="11.19921875" style="0" customWidth="1"/>
    <col min="11" max="11" width="11.8984375" style="0" customWidth="1"/>
    <col min="12" max="12" width="10.69921875" style="0" customWidth="1"/>
    <col min="16" max="16" width="15.5" style="0" bestFit="1" customWidth="1"/>
    <col min="17" max="17" width="13.69921875" style="0" bestFit="1" customWidth="1"/>
  </cols>
  <sheetData>
    <row r="2" ht="14.25">
      <c r="A2">
        <v>2012</v>
      </c>
    </row>
    <row r="3" spans="1:16" ht="14.25">
      <c r="A3" t="s">
        <v>22</v>
      </c>
      <c r="B3" t="s">
        <v>23</v>
      </c>
      <c r="D3" t="s">
        <v>25</v>
      </c>
      <c r="N3" t="s">
        <v>26</v>
      </c>
      <c r="P3" t="s">
        <v>24</v>
      </c>
    </row>
    <row r="4" spans="4:12" ht="14.25">
      <c r="D4" s="34">
        <v>40999</v>
      </c>
      <c r="E4" s="34">
        <v>41029</v>
      </c>
      <c r="F4" s="34">
        <v>41059</v>
      </c>
      <c r="G4" s="34">
        <v>41159</v>
      </c>
      <c r="H4" s="34">
        <v>41192</v>
      </c>
      <c r="I4" s="34">
        <v>41253</v>
      </c>
      <c r="J4" s="34">
        <v>41274</v>
      </c>
      <c r="K4" s="34"/>
      <c r="L4" s="34"/>
    </row>
    <row r="5" spans="1:16" ht="14.25">
      <c r="A5">
        <v>1</v>
      </c>
      <c r="B5">
        <v>77.22</v>
      </c>
      <c r="D5">
        <v>391.5</v>
      </c>
      <c r="E5">
        <v>1788.2</v>
      </c>
      <c r="H5">
        <f>716.2*7/4</f>
        <v>1253.3500000000001</v>
      </c>
      <c r="I5">
        <f>166.3*7/4</f>
        <v>291.02500000000003</v>
      </c>
      <c r="J5">
        <f>341.3*6/4</f>
        <v>511.95000000000005</v>
      </c>
      <c r="N5">
        <f>SUM(D5:M5)</f>
        <v>4236.025000000001</v>
      </c>
      <c r="P5" s="35">
        <f>B5*N5</f>
        <v>327105.85050000006</v>
      </c>
    </row>
    <row r="6" spans="1:16" ht="14.25">
      <c r="A6">
        <v>2</v>
      </c>
      <c r="B6">
        <v>74.65</v>
      </c>
      <c r="E6">
        <v>399</v>
      </c>
      <c r="N6">
        <f>SUM(D6:M6)</f>
        <v>399</v>
      </c>
      <c r="P6" s="35">
        <f>B6*N6</f>
        <v>29785.350000000002</v>
      </c>
    </row>
    <row r="7" spans="1:16" ht="14.25">
      <c r="A7">
        <v>3</v>
      </c>
      <c r="B7">
        <v>32.17</v>
      </c>
      <c r="I7">
        <f>73.1*7/4</f>
        <v>127.92499999999998</v>
      </c>
      <c r="J7">
        <f>10.8*7/4</f>
        <v>18.900000000000002</v>
      </c>
      <c r="N7">
        <f>SUM(D7:M7)</f>
        <v>146.825</v>
      </c>
      <c r="P7" s="35">
        <f>B7*N7</f>
        <v>4723.36025</v>
      </c>
    </row>
    <row r="8" spans="1:16" ht="14.25">
      <c r="A8">
        <v>4</v>
      </c>
      <c r="B8">
        <v>33.46</v>
      </c>
      <c r="D8">
        <v>29.6</v>
      </c>
      <c r="N8">
        <f>SUM(D8:M8)</f>
        <v>29.6</v>
      </c>
      <c r="P8" s="35">
        <f>B8*N8</f>
        <v>990.416</v>
      </c>
    </row>
    <row r="9" spans="1:16" ht="14.25">
      <c r="A9">
        <v>5</v>
      </c>
      <c r="B9">
        <v>29.6</v>
      </c>
      <c r="E9">
        <v>890</v>
      </c>
      <c r="F9">
        <v>1768</v>
      </c>
      <c r="G9">
        <v>3248</v>
      </c>
      <c r="H9">
        <v>996</v>
      </c>
      <c r="I9">
        <v>920</v>
      </c>
      <c r="J9">
        <v>140</v>
      </c>
      <c r="N9">
        <f>SUM(D9:M9)</f>
        <v>7962</v>
      </c>
      <c r="P9" s="35">
        <f>B9*N9</f>
        <v>235675.2</v>
      </c>
    </row>
    <row r="10" ht="14.25">
      <c r="P10" s="35"/>
    </row>
    <row r="11" spans="14:16" ht="14.25">
      <c r="N11">
        <f>SUM(N5:N10)</f>
        <v>12773.45</v>
      </c>
      <c r="P11" s="35">
        <f>SUM(P5:P10)</f>
        <v>598280.1767500001</v>
      </c>
    </row>
    <row r="15" ht="14.25">
      <c r="A15">
        <v>2013</v>
      </c>
    </row>
    <row r="16" spans="1:16" ht="14.25">
      <c r="A16" t="s">
        <v>22</v>
      </c>
      <c r="B16" t="s">
        <v>23</v>
      </c>
      <c r="D16" t="s">
        <v>25</v>
      </c>
      <c r="N16" t="s">
        <v>26</v>
      </c>
      <c r="P16" t="s">
        <v>24</v>
      </c>
    </row>
    <row r="17" spans="4:12" ht="14.25">
      <c r="D17" s="34">
        <v>41334</v>
      </c>
      <c r="E17" s="34">
        <v>41366</v>
      </c>
      <c r="F17" s="34">
        <v>41401</v>
      </c>
      <c r="G17" s="34">
        <v>41428</v>
      </c>
      <c r="H17" s="34">
        <v>41555</v>
      </c>
      <c r="I17" s="34">
        <v>41592</v>
      </c>
      <c r="J17" s="34">
        <v>41646</v>
      </c>
      <c r="K17" s="34"/>
      <c r="L17" s="34"/>
    </row>
    <row r="18" spans="1:16" ht="14.25">
      <c r="A18">
        <v>1</v>
      </c>
      <c r="B18">
        <v>77.22</v>
      </c>
      <c r="I18">
        <f>243*6/4</f>
        <v>364.5</v>
      </c>
      <c r="N18">
        <f>SUM(D18:M18)</f>
        <v>364.5</v>
      </c>
      <c r="P18" s="35">
        <f>B18*N18</f>
        <v>28146.69</v>
      </c>
    </row>
    <row r="19" spans="1:16" ht="14.25">
      <c r="A19">
        <v>2</v>
      </c>
      <c r="B19">
        <v>74.65</v>
      </c>
      <c r="D19">
        <f>18.6*5/4+199.2*6/4+378*7/4+141.6*8/4</f>
        <v>1266.75</v>
      </c>
      <c r="E19">
        <f>7.1*5/4+155.4*6/4+95.4*7/4+91.2*8/4</f>
        <v>591.325</v>
      </c>
      <c r="F19">
        <f>215.2+690.7*5/4+218.5*6/4+23.1*7/4+2.3*8/4</f>
        <v>1451.35</v>
      </c>
      <c r="G19">
        <f>313.3+842.4*5/4+694*6/4</f>
        <v>2407.3</v>
      </c>
      <c r="H19">
        <f>275.3*5/4+108.5*6/4+27.2*7/4+12*8/4</f>
        <v>578.475</v>
      </c>
      <c r="I19">
        <f>3.2*8/4</f>
        <v>6.4</v>
      </c>
      <c r="J19">
        <f>139.3*6/4</f>
        <v>208.95000000000002</v>
      </c>
      <c r="N19">
        <f>SUM(D19:M19)</f>
        <v>6510.55</v>
      </c>
      <c r="P19" s="35">
        <f>B19*N19</f>
        <v>486012.55750000005</v>
      </c>
    </row>
    <row r="20" spans="1:16" ht="14.25">
      <c r="A20">
        <v>3</v>
      </c>
      <c r="B20">
        <v>32.17</v>
      </c>
      <c r="D20">
        <f>3.3*5/4+8*6/4+9.4*7/4+9.6*8/4</f>
        <v>51.775000000000006</v>
      </c>
      <c r="J20">
        <f>73.1*8/4</f>
        <v>146.2</v>
      </c>
      <c r="N20">
        <f>SUM(D20:M20)</f>
        <v>197.975</v>
      </c>
      <c r="P20" s="35">
        <f>B20*N20</f>
        <v>6368.85575</v>
      </c>
    </row>
    <row r="21" spans="1:16" ht="14.25">
      <c r="A21">
        <v>4</v>
      </c>
      <c r="B21">
        <v>33.46</v>
      </c>
      <c r="D21">
        <f>2.2*5/4+13.6*6/4+7.1*7/4+13.9*8/4</f>
        <v>63.375</v>
      </c>
      <c r="E21">
        <f>1.5*5/4+1.7*6/4+0.5*7/4+0.8*8/4</f>
        <v>6.9</v>
      </c>
      <c r="N21">
        <f>SUM(D21:M21)</f>
        <v>70.275</v>
      </c>
      <c r="P21" s="35">
        <f>B21*N21</f>
        <v>2351.4015000000004</v>
      </c>
    </row>
    <row r="22" spans="1:16" ht="14.25">
      <c r="A22">
        <v>5</v>
      </c>
      <c r="B22">
        <v>29.6</v>
      </c>
      <c r="E22">
        <v>88</v>
      </c>
      <c r="F22">
        <v>2072</v>
      </c>
      <c r="G22">
        <v>2034</v>
      </c>
      <c r="H22">
        <v>4525.4</v>
      </c>
      <c r="I22">
        <v>1738</v>
      </c>
      <c r="J22">
        <v>350</v>
      </c>
      <c r="N22">
        <f>SUM(D22:M22)</f>
        <v>10807.4</v>
      </c>
      <c r="P22" s="35">
        <f>B22*N22</f>
        <v>319899.04</v>
      </c>
    </row>
    <row r="23" ht="14.25">
      <c r="P23" s="35"/>
    </row>
    <row r="24" spans="14:16" ht="14.25">
      <c r="N24">
        <f>SUM(N18:N23)</f>
        <v>17950.7</v>
      </c>
      <c r="P24" s="35">
        <f>SUM(P18:P23)</f>
        <v>842778.54475</v>
      </c>
    </row>
    <row r="30" ht="14.25">
      <c r="A30">
        <v>2014</v>
      </c>
    </row>
    <row r="31" spans="1:18" ht="14.25">
      <c r="A31" t="s">
        <v>22</v>
      </c>
      <c r="B31" t="s">
        <v>23</v>
      </c>
      <c r="D31" t="s">
        <v>25</v>
      </c>
      <c r="N31" t="s">
        <v>26</v>
      </c>
      <c r="P31" t="s">
        <v>24</v>
      </c>
      <c r="R31" t="s">
        <v>27</v>
      </c>
    </row>
    <row r="32" spans="4:21" ht="14.25">
      <c r="D32" s="34">
        <v>41705</v>
      </c>
      <c r="E32" s="34">
        <v>41736</v>
      </c>
      <c r="F32" s="34">
        <v>41767</v>
      </c>
      <c r="G32" s="34">
        <v>41838</v>
      </c>
      <c r="H32" s="34">
        <v>41851</v>
      </c>
      <c r="I32" s="34">
        <v>41960</v>
      </c>
      <c r="J32" s="34"/>
      <c r="K32" s="34"/>
      <c r="L32" s="34"/>
      <c r="T32" t="s">
        <v>29</v>
      </c>
      <c r="U32" t="s">
        <v>30</v>
      </c>
    </row>
    <row r="33" spans="1:22" ht="14.25">
      <c r="A33">
        <v>1</v>
      </c>
      <c r="B33">
        <v>77.22</v>
      </c>
      <c r="E33">
        <f>1043.4+4272.7*5/4</f>
        <v>6384.275</v>
      </c>
      <c r="F33">
        <f>65+329.6*5/4</f>
        <v>477</v>
      </c>
      <c r="I33">
        <f>119.9*5/4</f>
        <v>149.875</v>
      </c>
      <c r="N33">
        <f>SUM(D33:M33)</f>
        <v>7011.15</v>
      </c>
      <c r="P33" s="35">
        <f>B33*N33</f>
        <v>541401.0029999999</v>
      </c>
      <c r="R33" s="62">
        <f>N5+N18+N33</f>
        <v>11611.675</v>
      </c>
      <c r="S33">
        <f>R33/R76</f>
        <v>1.2252350402549301</v>
      </c>
      <c r="T33">
        <f>R33-R76</f>
        <v>2134.574999999999</v>
      </c>
      <c r="U33">
        <f>T33/4</f>
        <v>533.6437499999997</v>
      </c>
      <c r="V33" s="61">
        <f>T33*4</f>
        <v>8538.299999999996</v>
      </c>
    </row>
    <row r="34" spans="1:22" ht="14.25">
      <c r="A34">
        <v>2</v>
      </c>
      <c r="B34">
        <v>74.65</v>
      </c>
      <c r="D34">
        <f>17.2+58.3*6/4+38.4*7/4+6.4*8/4</f>
        <v>184.65</v>
      </c>
      <c r="E34">
        <f>77.2*5/4+65.3*6/4</f>
        <v>194.45</v>
      </c>
      <c r="G34">
        <f>14.1*8/4</f>
        <v>28.2</v>
      </c>
      <c r="H34">
        <f>47.5*8/4</f>
        <v>95</v>
      </c>
      <c r="I34">
        <v>46.9</v>
      </c>
      <c r="N34">
        <f>SUM(D34:M34)</f>
        <v>549.2</v>
      </c>
      <c r="P34" s="35">
        <f>B34*N34</f>
        <v>40997.780000000006</v>
      </c>
      <c r="R34" s="62">
        <f>N6+N19+N34</f>
        <v>7458.75</v>
      </c>
      <c r="S34">
        <f>R34/R77</f>
        <v>1.3756962632336125</v>
      </c>
      <c r="T34">
        <f>R34-R77</f>
        <v>2036.9499999999998</v>
      </c>
      <c r="U34">
        <f>T34/4</f>
        <v>509.23749999999995</v>
      </c>
      <c r="V34" s="61">
        <f>T34*4</f>
        <v>8147.799999999999</v>
      </c>
    </row>
    <row r="35" spans="1:22" ht="14.25">
      <c r="A35">
        <v>3</v>
      </c>
      <c r="B35">
        <v>32.17</v>
      </c>
      <c r="N35">
        <f>SUM(D35:M35)</f>
        <v>0</v>
      </c>
      <c r="P35" s="35">
        <f>B35*N35</f>
        <v>0</v>
      </c>
      <c r="R35" s="62">
        <f>N7+N20+N35</f>
        <v>344.79999999999995</v>
      </c>
      <c r="S35">
        <f>R35/R78</f>
        <v>1.8408969567538704</v>
      </c>
      <c r="T35">
        <f>R35-R78</f>
        <v>157.49999999999994</v>
      </c>
      <c r="U35">
        <f>T35/4</f>
        <v>39.374999999999986</v>
      </c>
      <c r="V35" s="61">
        <f>T35*4</f>
        <v>629.9999999999998</v>
      </c>
    </row>
    <row r="36" spans="1:22" ht="14.25">
      <c r="A36">
        <v>4</v>
      </c>
      <c r="B36">
        <v>33.46</v>
      </c>
      <c r="D36">
        <f>1*5/4+0.9*6/4</f>
        <v>2.6</v>
      </c>
      <c r="N36">
        <f>SUM(D36:M36)</f>
        <v>2.6</v>
      </c>
      <c r="P36" s="35">
        <f>B36*N36</f>
        <v>86.99600000000001</v>
      </c>
      <c r="R36" s="62">
        <f>N8+N21+N36</f>
        <v>102.475</v>
      </c>
      <c r="S36">
        <f>R36/R79</f>
        <v>1.4076236263736261</v>
      </c>
      <c r="T36">
        <f>R36-R79</f>
        <v>29.674999999999983</v>
      </c>
      <c r="U36">
        <f>T36/4</f>
        <v>7.418749999999996</v>
      </c>
      <c r="V36" s="61">
        <f>T36*4</f>
        <v>118.69999999999993</v>
      </c>
    </row>
    <row r="37" spans="1:22" ht="14.25">
      <c r="A37">
        <v>5</v>
      </c>
      <c r="B37">
        <v>29.6</v>
      </c>
      <c r="E37">
        <v>396</v>
      </c>
      <c r="F37">
        <v>1222</v>
      </c>
      <c r="G37">
        <v>1764</v>
      </c>
      <c r="H37">
        <v>1230</v>
      </c>
      <c r="I37">
        <v>3846</v>
      </c>
      <c r="N37">
        <f>SUM(D37:M37)</f>
        <v>8458</v>
      </c>
      <c r="P37" s="35">
        <f>B37*N37</f>
        <v>250356.80000000002</v>
      </c>
      <c r="R37" s="62">
        <f>N9+N22+N37</f>
        <v>27227.4</v>
      </c>
      <c r="V37" s="61">
        <f>T37*4</f>
        <v>0</v>
      </c>
    </row>
    <row r="38" ht="14.25">
      <c r="P38" s="35"/>
    </row>
    <row r="39" spans="14:16" ht="14.25">
      <c r="N39">
        <f>SUM(N33:N38)</f>
        <v>16020.95</v>
      </c>
      <c r="P39" s="35">
        <f>SUM(P33:P38)</f>
        <v>832842.579</v>
      </c>
    </row>
    <row r="41" spans="1:19" ht="14.25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ht="14.25">
      <c r="A45">
        <v>2012</v>
      </c>
    </row>
    <row r="46" spans="1:16" ht="14.25">
      <c r="A46" t="s">
        <v>22</v>
      </c>
      <c r="B46" t="s">
        <v>23</v>
      </c>
      <c r="D46" t="s">
        <v>25</v>
      </c>
      <c r="N46" t="s">
        <v>26</v>
      </c>
      <c r="P46" t="s">
        <v>24</v>
      </c>
    </row>
    <row r="47" spans="4:12" ht="14.25">
      <c r="D47" s="34">
        <v>40999</v>
      </c>
      <c r="E47" s="34">
        <v>41029</v>
      </c>
      <c r="F47" s="34">
        <v>41059</v>
      </c>
      <c r="G47" s="34">
        <v>41159</v>
      </c>
      <c r="H47" s="34">
        <v>41192</v>
      </c>
      <c r="I47" s="34">
        <v>41253</v>
      </c>
      <c r="J47" s="34">
        <v>41274</v>
      </c>
      <c r="K47" s="34"/>
      <c r="L47" s="34"/>
    </row>
    <row r="48" spans="1:16" ht="14.25">
      <c r="A48">
        <v>1</v>
      </c>
      <c r="B48">
        <v>77.22</v>
      </c>
      <c r="D48">
        <v>391.5</v>
      </c>
      <c r="E48">
        <v>1788.2</v>
      </c>
      <c r="H48">
        <f>716.2</f>
        <v>716.2</v>
      </c>
      <c r="I48">
        <f>166.3</f>
        <v>166.3</v>
      </c>
      <c r="J48">
        <f>341.3</f>
        <v>341.3</v>
      </c>
      <c r="N48">
        <f>SUM(D48:M48)</f>
        <v>3403.5</v>
      </c>
      <c r="P48" s="35">
        <f>B48*N48</f>
        <v>262818.27</v>
      </c>
    </row>
    <row r="49" spans="1:16" ht="14.25">
      <c r="A49">
        <v>2</v>
      </c>
      <c r="B49">
        <v>74.65</v>
      </c>
      <c r="E49">
        <v>399</v>
      </c>
      <c r="N49">
        <f>SUM(D49:M49)</f>
        <v>399</v>
      </c>
      <c r="P49" s="35">
        <f>B49*N49</f>
        <v>29785.350000000002</v>
      </c>
    </row>
    <row r="50" spans="1:16" ht="14.25">
      <c r="A50">
        <v>3</v>
      </c>
      <c r="B50">
        <v>32.17</v>
      </c>
      <c r="I50">
        <f>73.1</f>
        <v>73.1</v>
      </c>
      <c r="J50">
        <f>10.8</f>
        <v>10.8</v>
      </c>
      <c r="N50">
        <f>SUM(D50:M50)</f>
        <v>83.89999999999999</v>
      </c>
      <c r="P50" s="35">
        <f>B50*N50</f>
        <v>2699.0629999999996</v>
      </c>
    </row>
    <row r="51" spans="1:16" ht="14.25">
      <c r="A51">
        <v>4</v>
      </c>
      <c r="B51">
        <v>33.46</v>
      </c>
      <c r="D51">
        <v>29.6</v>
      </c>
      <c r="N51">
        <f>SUM(D51:M51)</f>
        <v>29.6</v>
      </c>
      <c r="P51" s="35">
        <f>B51*N51</f>
        <v>990.416</v>
      </c>
    </row>
    <row r="52" spans="1:16" ht="14.25">
      <c r="A52">
        <v>5</v>
      </c>
      <c r="B52">
        <v>29.6</v>
      </c>
      <c r="E52">
        <v>890</v>
      </c>
      <c r="F52">
        <v>1768</v>
      </c>
      <c r="G52">
        <v>3248</v>
      </c>
      <c r="H52">
        <v>996</v>
      </c>
      <c r="I52">
        <v>920</v>
      </c>
      <c r="J52">
        <v>140</v>
      </c>
      <c r="N52">
        <f>SUM(D52:M52)</f>
        <v>7962</v>
      </c>
      <c r="P52" s="35">
        <f>B52*N52</f>
        <v>235675.2</v>
      </c>
    </row>
    <row r="53" ht="14.25">
      <c r="P53" s="35"/>
    </row>
    <row r="54" spans="14:16" ht="14.25">
      <c r="N54">
        <f>SUM(N48:N53)</f>
        <v>11878</v>
      </c>
      <c r="P54" s="35">
        <f>SUM(P48:P53)</f>
        <v>531968.2990000001</v>
      </c>
    </row>
    <row r="58" ht="14.25">
      <c r="A58">
        <v>2013</v>
      </c>
    </row>
    <row r="59" spans="1:16" ht="14.25">
      <c r="A59" t="s">
        <v>22</v>
      </c>
      <c r="B59" t="s">
        <v>23</v>
      </c>
      <c r="D59" t="s">
        <v>25</v>
      </c>
      <c r="N59" t="s">
        <v>26</v>
      </c>
      <c r="P59" t="s">
        <v>24</v>
      </c>
    </row>
    <row r="60" spans="4:12" ht="14.25">
      <c r="D60" s="34">
        <v>41334</v>
      </c>
      <c r="E60" s="34">
        <v>41366</v>
      </c>
      <c r="F60" s="34">
        <v>41401</v>
      </c>
      <c r="G60" s="34">
        <v>41428</v>
      </c>
      <c r="H60" s="34">
        <v>41555</v>
      </c>
      <c r="I60" s="34">
        <v>41592</v>
      </c>
      <c r="J60" s="34">
        <v>41646</v>
      </c>
      <c r="K60" s="34"/>
      <c r="L60" s="34"/>
    </row>
    <row r="61" spans="1:16" ht="14.25">
      <c r="A61">
        <v>1</v>
      </c>
      <c r="B61">
        <v>77.22</v>
      </c>
      <c r="I61">
        <f>243</f>
        <v>243</v>
      </c>
      <c r="N61">
        <f>SUM(D61:M61)</f>
        <v>243</v>
      </c>
      <c r="P61" s="35">
        <f>B61*N61</f>
        <v>18764.46</v>
      </c>
    </row>
    <row r="62" spans="1:16" ht="14.25">
      <c r="A62">
        <v>2</v>
      </c>
      <c r="B62">
        <v>74.65</v>
      </c>
      <c r="D62">
        <f>18.6+199.2+378+141.6</f>
        <v>737.4</v>
      </c>
      <c r="E62">
        <f>7.1+155.4+95.4+91.2</f>
        <v>349.09999999999997</v>
      </c>
      <c r="F62">
        <f>215.2+690.7+218.5+23.1+2.3</f>
        <v>1149.8</v>
      </c>
      <c r="G62">
        <f>313.3+842.4+694</f>
        <v>1849.7</v>
      </c>
      <c r="H62">
        <f>275.3+108.5+27.2+12</f>
        <v>423</v>
      </c>
      <c r="I62">
        <f>3.2</f>
        <v>3.2</v>
      </c>
      <c r="J62">
        <f>139.3</f>
        <v>139.3</v>
      </c>
      <c r="N62">
        <f>SUM(D62:M62)</f>
        <v>4651.5</v>
      </c>
      <c r="P62" s="35">
        <f>B62*N62</f>
        <v>347234.47500000003</v>
      </c>
    </row>
    <row r="63" spans="1:16" ht="14.25">
      <c r="A63">
        <v>3</v>
      </c>
      <c r="B63">
        <v>32.17</v>
      </c>
      <c r="D63">
        <f>3.3+8+9.4+9.6</f>
        <v>30.300000000000004</v>
      </c>
      <c r="J63">
        <f>73.1</f>
        <v>73.1</v>
      </c>
      <c r="N63">
        <f>SUM(D63:M63)</f>
        <v>103.4</v>
      </c>
      <c r="P63" s="35">
        <f>B63*N63</f>
        <v>3326.378</v>
      </c>
    </row>
    <row r="64" spans="1:16" ht="14.25">
      <c r="A64">
        <v>4</v>
      </c>
      <c r="B64">
        <v>33.46</v>
      </c>
      <c r="D64">
        <f>2.2+13.6+7.1+13.9</f>
        <v>36.8</v>
      </c>
      <c r="E64">
        <f>1.5+1.7+0.5+0.8</f>
        <v>4.5</v>
      </c>
      <c r="N64">
        <f>SUM(D64:M64)</f>
        <v>41.3</v>
      </c>
      <c r="P64" s="35">
        <f>B64*N64</f>
        <v>1381.898</v>
      </c>
    </row>
    <row r="65" spans="1:16" ht="14.25">
      <c r="A65">
        <v>5</v>
      </c>
      <c r="B65">
        <v>29.6</v>
      </c>
      <c r="E65">
        <v>88</v>
      </c>
      <c r="F65">
        <v>2072</v>
      </c>
      <c r="G65">
        <v>2034</v>
      </c>
      <c r="H65">
        <v>4525.4</v>
      </c>
      <c r="I65">
        <v>1738</v>
      </c>
      <c r="J65">
        <v>350</v>
      </c>
      <c r="N65">
        <f>SUM(D65:M65)</f>
        <v>10807.4</v>
      </c>
      <c r="P65" s="35">
        <f>B65*N65</f>
        <v>319899.04</v>
      </c>
    </row>
    <row r="66" ht="14.25">
      <c r="P66" s="35"/>
    </row>
    <row r="67" spans="14:16" ht="14.25">
      <c r="N67">
        <f>SUM(N61:N66)</f>
        <v>15846.599999999999</v>
      </c>
      <c r="P67" s="35">
        <f>SUM(P61:P66)</f>
        <v>690606.251</v>
      </c>
    </row>
    <row r="73" ht="14.25">
      <c r="A73">
        <v>2014</v>
      </c>
    </row>
    <row r="74" spans="1:18" ht="14.25">
      <c r="A74" t="s">
        <v>22</v>
      </c>
      <c r="B74" t="s">
        <v>23</v>
      </c>
      <c r="D74" t="s">
        <v>25</v>
      </c>
      <c r="N74" t="s">
        <v>26</v>
      </c>
      <c r="P74" t="s">
        <v>24</v>
      </c>
      <c r="R74" t="s">
        <v>27</v>
      </c>
    </row>
    <row r="75" spans="4:12" ht="14.25">
      <c r="D75" s="34">
        <v>41705</v>
      </c>
      <c r="E75" s="34">
        <v>41736</v>
      </c>
      <c r="F75" s="34">
        <v>41767</v>
      </c>
      <c r="G75" s="34">
        <v>41838</v>
      </c>
      <c r="H75" s="34">
        <v>41851</v>
      </c>
      <c r="I75" s="34">
        <v>41960</v>
      </c>
      <c r="J75" s="34"/>
      <c r="K75" s="34"/>
      <c r="L75" s="34"/>
    </row>
    <row r="76" spans="1:18" ht="14.25">
      <c r="A76">
        <v>1</v>
      </c>
      <c r="B76">
        <v>77.22</v>
      </c>
      <c r="E76">
        <f>1043.4+4272.7</f>
        <v>5316.1</v>
      </c>
      <c r="F76">
        <f>65+329.6</f>
        <v>394.6</v>
      </c>
      <c r="I76">
        <f>119.9</f>
        <v>119.9</v>
      </c>
      <c r="N76">
        <f>SUM(D76:M76)</f>
        <v>5830.6</v>
      </c>
      <c r="P76" s="35">
        <f>B76*N76</f>
        <v>450238.93200000003</v>
      </c>
      <c r="R76" s="63">
        <f>N48+N61+N76</f>
        <v>9477.1</v>
      </c>
    </row>
    <row r="77" spans="1:18" ht="14.25">
      <c r="A77">
        <v>2</v>
      </c>
      <c r="B77">
        <v>74.65</v>
      </c>
      <c r="D77">
        <f>17.2+58.3+38.4+6.4</f>
        <v>120.30000000000001</v>
      </c>
      <c r="E77">
        <f>77.2+65.3</f>
        <v>142.5</v>
      </c>
      <c r="G77">
        <f>14.1</f>
        <v>14.1</v>
      </c>
      <c r="H77">
        <f>47.5</f>
        <v>47.5</v>
      </c>
      <c r="I77">
        <v>46.9</v>
      </c>
      <c r="N77">
        <f>SUM(D77:M77)</f>
        <v>371.3</v>
      </c>
      <c r="P77" s="35">
        <f>B77*N77</f>
        <v>27717.545000000002</v>
      </c>
      <c r="R77" s="63">
        <f>N49+N62+N77</f>
        <v>5421.8</v>
      </c>
    </row>
    <row r="78" spans="1:18" ht="14.25">
      <c r="A78">
        <v>3</v>
      </c>
      <c r="B78">
        <v>32.17</v>
      </c>
      <c r="N78">
        <f>SUM(D78:M78)</f>
        <v>0</v>
      </c>
      <c r="P78" s="35">
        <f>B78*N78</f>
        <v>0</v>
      </c>
      <c r="R78" s="63">
        <f>N50+N63+N78</f>
        <v>187.3</v>
      </c>
    </row>
    <row r="79" spans="1:18" ht="14.25">
      <c r="A79">
        <v>4</v>
      </c>
      <c r="B79">
        <v>33.46</v>
      </c>
      <c r="D79">
        <f>1+0.9</f>
        <v>1.9</v>
      </c>
      <c r="N79">
        <f>SUM(D79:M79)</f>
        <v>1.9</v>
      </c>
      <c r="P79" s="35">
        <f>B79*N79</f>
        <v>63.574</v>
      </c>
      <c r="R79" s="63">
        <f>N51+N64+N79</f>
        <v>72.80000000000001</v>
      </c>
    </row>
    <row r="80" spans="1:18" ht="14.25">
      <c r="A80">
        <v>5</v>
      </c>
      <c r="B80">
        <v>29.6</v>
      </c>
      <c r="E80">
        <v>396</v>
      </c>
      <c r="F80">
        <v>1222</v>
      </c>
      <c r="G80">
        <v>1764</v>
      </c>
      <c r="H80">
        <v>1230</v>
      </c>
      <c r="I80">
        <v>3846</v>
      </c>
      <c r="N80">
        <f>SUM(D80:M80)</f>
        <v>8458</v>
      </c>
      <c r="P80" s="35">
        <f>B80*N80</f>
        <v>250356.80000000002</v>
      </c>
      <c r="R80" s="63">
        <f>N52+N65+N80</f>
        <v>27227.4</v>
      </c>
    </row>
    <row r="81" ht="14.25">
      <c r="P81" s="35"/>
    </row>
    <row r="82" spans="14:16" ht="14.25">
      <c r="N82">
        <f>SUM(N76:N81)</f>
        <v>14661.8</v>
      </c>
      <c r="P82" s="35">
        <f>SUM(P76:P81)</f>
        <v>728376.851</v>
      </c>
    </row>
    <row r="83" ht="14.25">
      <c r="P83" s="59"/>
    </row>
    <row r="84" spans="1:19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60"/>
      <c r="Q84" s="39"/>
      <c r="R84" s="39"/>
      <c r="S84" s="39"/>
    </row>
    <row r="85" spans="1:19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60"/>
      <c r="Q85" s="39"/>
      <c r="R85" s="39"/>
      <c r="S85" s="39"/>
    </row>
    <row r="86" ht="14.25">
      <c r="P86" s="59"/>
    </row>
    <row r="88" spans="1:16" ht="14.25">
      <c r="A88">
        <v>2015</v>
      </c>
      <c r="D88" s="34">
        <v>42037</v>
      </c>
      <c r="E88" s="34">
        <v>42066</v>
      </c>
      <c r="F88" s="34">
        <v>42097</v>
      </c>
      <c r="G88" s="34">
        <v>42128</v>
      </c>
      <c r="H88" s="34">
        <v>42158</v>
      </c>
      <c r="I88" s="34">
        <v>42193</v>
      </c>
      <c r="J88" s="34">
        <v>42223</v>
      </c>
      <c r="K88" s="34">
        <v>42261</v>
      </c>
      <c r="L88" s="34">
        <v>42278</v>
      </c>
      <c r="N88" t="s">
        <v>48</v>
      </c>
      <c r="P88" t="s">
        <v>24</v>
      </c>
    </row>
    <row r="90" spans="1:17" ht="14.25">
      <c r="A90">
        <v>1</v>
      </c>
      <c r="B90">
        <v>71.34</v>
      </c>
      <c r="F90">
        <f>251.6+55.3</f>
        <v>306.9</v>
      </c>
      <c r="G90">
        <f>484+529.8</f>
        <v>1013.8</v>
      </c>
      <c r="H90">
        <v>433.9</v>
      </c>
      <c r="L90">
        <f>768.3+276.2</f>
        <v>1044.5</v>
      </c>
      <c r="N90">
        <f aca="true" t="shared" si="0" ref="N90:N98">SUM(D90:M90)</f>
        <v>2799.1</v>
      </c>
      <c r="O90" s="64"/>
      <c r="P90" s="57">
        <f aca="true" t="shared" si="1" ref="P90:P98">B90*N90</f>
        <v>199687.794</v>
      </c>
      <c r="Q90" s="64">
        <f>P90/P$100</f>
        <v>0.46073536460738207</v>
      </c>
    </row>
    <row r="91" spans="1:17" ht="14.25">
      <c r="A91" t="s">
        <v>28</v>
      </c>
      <c r="B91">
        <v>7.38</v>
      </c>
      <c r="F91">
        <f>251.6+55.3*2</f>
        <v>362.2</v>
      </c>
      <c r="G91">
        <f>484+529.8*2</f>
        <v>1543.6</v>
      </c>
      <c r="H91">
        <v>433.9</v>
      </c>
      <c r="L91">
        <f>768.3+276.2*2</f>
        <v>1320.6999999999998</v>
      </c>
      <c r="N91">
        <f t="shared" si="0"/>
        <v>3660.3999999999996</v>
      </c>
      <c r="O91" s="64"/>
      <c r="P91" s="57">
        <f t="shared" si="1"/>
        <v>27013.751999999997</v>
      </c>
      <c r="Q91" s="64">
        <f aca="true" t="shared" si="2" ref="Q91:Q98">P91/P$100</f>
        <v>0.062328250654786616</v>
      </c>
    </row>
    <row r="92" spans="1:17" ht="14.25">
      <c r="A92">
        <v>2</v>
      </c>
      <c r="B92">
        <v>51.66</v>
      </c>
      <c r="D92">
        <v>3.9</v>
      </c>
      <c r="E92">
        <f>24.4+18.6</f>
        <v>43</v>
      </c>
      <c r="F92">
        <f>14.4+34.3+14</f>
        <v>62.699999999999996</v>
      </c>
      <c r="G92">
        <f>4.3+3</f>
        <v>7.3</v>
      </c>
      <c r="H92">
        <v>83</v>
      </c>
      <c r="I92">
        <f>156.3+147.8</f>
        <v>304.1</v>
      </c>
      <c r="L92">
        <v>628.8</v>
      </c>
      <c r="N92">
        <f t="shared" si="0"/>
        <v>1132.8</v>
      </c>
      <c r="O92" s="64"/>
      <c r="P92" s="57">
        <f t="shared" si="1"/>
        <v>58520.448</v>
      </c>
      <c r="Q92" s="64">
        <f t="shared" si="2"/>
        <v>0.1350229746454475</v>
      </c>
    </row>
    <row r="93" spans="1:17" ht="14.25">
      <c r="A93" t="s">
        <v>33</v>
      </c>
      <c r="B93">
        <v>6.15</v>
      </c>
      <c r="D93">
        <v>3.9</v>
      </c>
      <c r="E93">
        <f>24.4+18.6*2</f>
        <v>61.6</v>
      </c>
      <c r="F93">
        <f>14.4+34.3*2+14*8</f>
        <v>195</v>
      </c>
      <c r="G93">
        <f>4.3+3*2</f>
        <v>10.3</v>
      </c>
      <c r="H93">
        <v>83</v>
      </c>
      <c r="I93">
        <f>156.3+147.8</f>
        <v>304.1</v>
      </c>
      <c r="N93">
        <f t="shared" si="0"/>
        <v>657.9000000000001</v>
      </c>
      <c r="O93" s="64"/>
      <c r="P93" s="57">
        <f t="shared" si="1"/>
        <v>4046.085000000001</v>
      </c>
      <c r="Q93" s="64">
        <f t="shared" si="2"/>
        <v>0.009335445148477428</v>
      </c>
    </row>
    <row r="94" spans="1:17" ht="14.25">
      <c r="A94">
        <v>3</v>
      </c>
      <c r="B94">
        <v>30.75</v>
      </c>
      <c r="H94">
        <v>46.5</v>
      </c>
      <c r="N94">
        <f t="shared" si="0"/>
        <v>46.5</v>
      </c>
      <c r="O94" s="64"/>
      <c r="P94" s="57">
        <f t="shared" si="1"/>
        <v>1429.875</v>
      </c>
      <c r="Q94" s="64">
        <f t="shared" si="2"/>
        <v>0.0032991199225125417</v>
      </c>
    </row>
    <row r="95" spans="1:17" ht="14.25">
      <c r="A95" t="s">
        <v>34</v>
      </c>
      <c r="B95">
        <v>6.15</v>
      </c>
      <c r="H95">
        <v>46.5</v>
      </c>
      <c r="N95">
        <f t="shared" si="0"/>
        <v>46.5</v>
      </c>
      <c r="O95" s="64"/>
      <c r="P95" s="57">
        <f t="shared" si="1"/>
        <v>285.975</v>
      </c>
      <c r="Q95" s="64">
        <f t="shared" si="2"/>
        <v>0.0006598239845025084</v>
      </c>
    </row>
    <row r="96" spans="1:17" ht="14.25">
      <c r="A96">
        <v>4</v>
      </c>
      <c r="B96">
        <v>31.98</v>
      </c>
      <c r="D96">
        <f>2.1+3.8</f>
        <v>5.9</v>
      </c>
      <c r="E96">
        <f>0.6+0.9</f>
        <v>1.5</v>
      </c>
      <c r="N96">
        <f t="shared" si="0"/>
        <v>7.4</v>
      </c>
      <c r="O96" s="64"/>
      <c r="P96" s="57">
        <f t="shared" si="1"/>
        <v>236.65200000000002</v>
      </c>
      <c r="Q96" s="64">
        <f t="shared" si="2"/>
        <v>0.0005460220843797102</v>
      </c>
    </row>
    <row r="97" spans="1:17" ht="14.25">
      <c r="A97" t="s">
        <v>35</v>
      </c>
      <c r="B97">
        <v>6.15</v>
      </c>
      <c r="D97">
        <f>3.8*2</f>
        <v>7.6</v>
      </c>
      <c r="E97">
        <f>0.6+0.9*2</f>
        <v>2.4</v>
      </c>
      <c r="N97">
        <f t="shared" si="0"/>
        <v>10</v>
      </c>
      <c r="O97" s="64"/>
      <c r="P97" s="57">
        <f t="shared" si="1"/>
        <v>61.5</v>
      </c>
      <c r="Q97" s="64">
        <f t="shared" si="2"/>
        <v>0.00014189763107580824</v>
      </c>
    </row>
    <row r="98" spans="1:17" ht="14.25">
      <c r="A98">
        <v>5</v>
      </c>
      <c r="B98">
        <v>19.68</v>
      </c>
      <c r="F98">
        <v>726</v>
      </c>
      <c r="G98">
        <v>1350</v>
      </c>
      <c r="H98">
        <v>690</v>
      </c>
      <c r="I98">
        <v>968</v>
      </c>
      <c r="J98">
        <v>1454</v>
      </c>
      <c r="K98">
        <v>868</v>
      </c>
      <c r="L98">
        <v>1166</v>
      </c>
      <c r="N98">
        <f t="shared" si="0"/>
        <v>7222</v>
      </c>
      <c r="O98" s="64"/>
      <c r="P98" s="57">
        <f t="shared" si="1"/>
        <v>142128.96</v>
      </c>
      <c r="Q98" s="64">
        <f t="shared" si="2"/>
        <v>0.3279311013214359</v>
      </c>
    </row>
    <row r="100" spans="14:16" ht="14.25">
      <c r="N100">
        <f>SUM(N90:N99)</f>
        <v>15582.6</v>
      </c>
      <c r="P100" s="57">
        <f>SUM(P90:P99)</f>
        <v>433411.04099999997</v>
      </c>
    </row>
    <row r="101" ht="14.25">
      <c r="N101">
        <f>N90+N92+N94+N96+N98</f>
        <v>11207.8</v>
      </c>
    </row>
    <row r="103" spans="4:7" ht="14.25">
      <c r="D103" t="s">
        <v>49</v>
      </c>
      <c r="E103">
        <v>2015</v>
      </c>
      <c r="F103" t="s">
        <v>47</v>
      </c>
      <c r="G103" t="s">
        <v>50</v>
      </c>
    </row>
    <row r="104" spans="1:8" ht="14.25">
      <c r="A104">
        <v>1</v>
      </c>
      <c r="B104">
        <v>71.34</v>
      </c>
      <c r="D104">
        <f>R76</f>
        <v>9477.1</v>
      </c>
      <c r="E104">
        <f>N90</f>
        <v>2799.1</v>
      </c>
      <c r="F104">
        <f>D104+E104</f>
        <v>12276.2</v>
      </c>
      <c r="G104">
        <f>F104/4</f>
        <v>3069.05</v>
      </c>
      <c r="H104" s="64">
        <f>G104/G$114</f>
        <v>0.16280611852453064</v>
      </c>
    </row>
    <row r="105" spans="1:8" ht="14.25">
      <c r="A105" t="s">
        <v>28</v>
      </c>
      <c r="B105">
        <v>7.38</v>
      </c>
      <c r="D105">
        <f>V33</f>
        <v>8538.299999999996</v>
      </c>
      <c r="E105">
        <f aca="true" t="shared" si="3" ref="E105:E112">N91</f>
        <v>3660.3999999999996</v>
      </c>
      <c r="F105">
        <f aca="true" t="shared" si="4" ref="F105:F112">D105+E105</f>
        <v>12198.699999999995</v>
      </c>
      <c r="G105">
        <f aca="true" t="shared" si="5" ref="G105:G112">F105/4</f>
        <v>3049.674999999999</v>
      </c>
      <c r="H105" s="64">
        <f aca="true" t="shared" si="6" ref="H105:H112">G105/G$114</f>
        <v>0.16177831886456648</v>
      </c>
    </row>
    <row r="106" spans="1:8" ht="14.25">
      <c r="A106">
        <v>2</v>
      </c>
      <c r="B106">
        <v>51.66</v>
      </c>
      <c r="D106">
        <f>R77</f>
        <v>5421.8</v>
      </c>
      <c r="E106">
        <f t="shared" si="3"/>
        <v>1132.8</v>
      </c>
      <c r="F106">
        <f t="shared" si="4"/>
        <v>6554.6</v>
      </c>
      <c r="G106">
        <f t="shared" si="5"/>
        <v>1638.65</v>
      </c>
      <c r="H106" s="64">
        <f t="shared" si="6"/>
        <v>0.08692665356387876</v>
      </c>
    </row>
    <row r="107" spans="1:8" ht="14.25">
      <c r="A107" t="s">
        <v>33</v>
      </c>
      <c r="B107">
        <v>6.15</v>
      </c>
      <c r="D107">
        <f>V34</f>
        <v>8147.799999999999</v>
      </c>
      <c r="E107">
        <f t="shared" si="3"/>
        <v>657.9000000000001</v>
      </c>
      <c r="F107">
        <f t="shared" si="4"/>
        <v>8805.699999999999</v>
      </c>
      <c r="G107">
        <f t="shared" si="5"/>
        <v>2201.4249999999997</v>
      </c>
      <c r="H107" s="64">
        <f t="shared" si="6"/>
        <v>0.11678058665478398</v>
      </c>
    </row>
    <row r="108" spans="1:17" ht="14.25">
      <c r="A108">
        <v>3</v>
      </c>
      <c r="B108">
        <v>30.75</v>
      </c>
      <c r="D108">
        <f>R78</f>
        <v>187.3</v>
      </c>
      <c r="E108">
        <f t="shared" si="3"/>
        <v>46.5</v>
      </c>
      <c r="F108">
        <f t="shared" si="4"/>
        <v>233.8</v>
      </c>
      <c r="G108">
        <f t="shared" si="5"/>
        <v>58.45</v>
      </c>
      <c r="H108" s="64">
        <f t="shared" si="6"/>
        <v>0.0031006394903174647</v>
      </c>
      <c r="P108" s="58">
        <f>P54+P67+P82+P100</f>
        <v>2384362.4420000003</v>
      </c>
      <c r="Q108" s="58">
        <f>P108/4</f>
        <v>596090.6105000001</v>
      </c>
    </row>
    <row r="109" spans="1:8" ht="14.25">
      <c r="A109" t="s">
        <v>34</v>
      </c>
      <c r="B109">
        <v>6.15</v>
      </c>
      <c r="D109">
        <f>V35</f>
        <v>629.9999999999998</v>
      </c>
      <c r="E109">
        <f t="shared" si="3"/>
        <v>46.5</v>
      </c>
      <c r="F109">
        <f t="shared" si="4"/>
        <v>676.4999999999998</v>
      </c>
      <c r="G109">
        <f t="shared" si="5"/>
        <v>169.12499999999994</v>
      </c>
      <c r="H109" s="64">
        <f t="shared" si="6"/>
        <v>0.008971696386654252</v>
      </c>
    </row>
    <row r="110" spans="1:8" ht="14.25">
      <c r="A110">
        <v>4</v>
      </c>
      <c r="B110">
        <v>31.98</v>
      </c>
      <c r="D110">
        <f>R79</f>
        <v>72.80000000000001</v>
      </c>
      <c r="E110">
        <f t="shared" si="3"/>
        <v>7.4</v>
      </c>
      <c r="F110">
        <f t="shared" si="4"/>
        <v>80.20000000000002</v>
      </c>
      <c r="G110">
        <f t="shared" si="5"/>
        <v>20.050000000000004</v>
      </c>
      <c r="H110" s="64">
        <f t="shared" si="6"/>
        <v>0.0010636068739241261</v>
      </c>
    </row>
    <row r="111" spans="1:8" ht="14.25">
      <c r="A111" t="s">
        <v>35</v>
      </c>
      <c r="B111">
        <v>6.15</v>
      </c>
      <c r="D111">
        <f>V36</f>
        <v>118.69999999999993</v>
      </c>
      <c r="E111">
        <f t="shared" si="3"/>
        <v>10</v>
      </c>
      <c r="F111">
        <f t="shared" si="4"/>
        <v>128.69999999999993</v>
      </c>
      <c r="G111">
        <f t="shared" si="5"/>
        <v>32.17499999999998</v>
      </c>
      <c r="H111" s="64">
        <f t="shared" si="6"/>
        <v>0.0017068105320951989</v>
      </c>
    </row>
    <row r="112" spans="1:8" ht="14.25">
      <c r="A112">
        <v>5</v>
      </c>
      <c r="B112">
        <v>19.68</v>
      </c>
      <c r="D112">
        <f>R80</f>
        <v>27227.4</v>
      </c>
      <c r="E112">
        <f t="shared" si="3"/>
        <v>7222</v>
      </c>
      <c r="F112">
        <f t="shared" si="4"/>
        <v>34449.4</v>
      </c>
      <c r="G112">
        <f t="shared" si="5"/>
        <v>8612.35</v>
      </c>
      <c r="H112" s="64">
        <f t="shared" si="6"/>
        <v>0.45686556910924925</v>
      </c>
    </row>
    <row r="114" ht="14.25">
      <c r="G114" s="65">
        <f>SUM(G104:G113)</f>
        <v>18850.949999999997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6">
      <selection activeCell="D23" sqref="D23"/>
    </sheetView>
  </sheetViews>
  <sheetFormatPr defaultColWidth="8.796875" defaultRowHeight="14.25"/>
  <cols>
    <col min="1" max="1" width="6.3984375" style="48" customWidth="1"/>
    <col min="2" max="2" width="2.09765625" style="1" customWidth="1"/>
    <col min="3" max="3" width="59.3984375" style="1" customWidth="1"/>
    <col min="4" max="4" width="12.69921875" style="5" customWidth="1"/>
    <col min="5" max="5" width="12.19921875" style="5" customWidth="1"/>
    <col min="6" max="6" width="17.5" style="13" customWidth="1"/>
    <col min="7" max="7" width="5.19921875" style="0" customWidth="1"/>
    <col min="8" max="8" width="17.09765625" style="0" customWidth="1"/>
  </cols>
  <sheetData>
    <row r="1" spans="1:6" ht="15">
      <c r="A1" s="89" t="s">
        <v>36</v>
      </c>
      <c r="B1" s="89"/>
      <c r="C1" s="89"/>
      <c r="D1" s="89"/>
      <c r="E1" s="89"/>
      <c r="F1" s="89"/>
    </row>
    <row r="2" spans="1:6" ht="30.75" customHeight="1">
      <c r="A2" s="90" t="s">
        <v>51</v>
      </c>
      <c r="B2" s="90"/>
      <c r="C2" s="90"/>
      <c r="D2" s="90"/>
      <c r="E2" s="90"/>
      <c r="F2" s="90"/>
    </row>
    <row r="4" spans="1:18" s="12" customFormat="1" ht="43.5" customHeight="1">
      <c r="A4" s="14" t="s">
        <v>8</v>
      </c>
      <c r="B4" s="91" t="s">
        <v>0</v>
      </c>
      <c r="C4" s="91"/>
      <c r="D4" s="47" t="s">
        <v>16</v>
      </c>
      <c r="E4" s="47" t="s">
        <v>19</v>
      </c>
      <c r="F4" s="47" t="s">
        <v>17</v>
      </c>
      <c r="G4" s="9"/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5" t="s">
        <v>41</v>
      </c>
      <c r="C5" s="85"/>
      <c r="D5" s="16">
        <f>3069*1.3</f>
        <v>3989.7000000000003</v>
      </c>
      <c r="E5" s="36">
        <f>71.34*1.05</f>
        <v>74.90700000000001</v>
      </c>
      <c r="F5" s="54">
        <f>ROUND(D5*E5,2)</f>
        <v>298856.46</v>
      </c>
      <c r="G5" s="3"/>
      <c r="H5" s="3"/>
      <c r="I5" s="3"/>
      <c r="J5" s="46"/>
      <c r="K5" s="46"/>
      <c r="L5" s="46"/>
      <c r="M5" s="46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37"/>
      <c r="F6" s="55"/>
      <c r="G6" s="3"/>
      <c r="H6" s="3"/>
      <c r="I6" s="3"/>
      <c r="J6" s="46"/>
      <c r="K6" s="46"/>
      <c r="L6" s="46"/>
      <c r="M6" s="46"/>
      <c r="N6" s="4"/>
      <c r="O6" s="4"/>
      <c r="P6" s="4"/>
      <c r="Q6" s="4"/>
      <c r="R6" s="4"/>
    </row>
    <row r="7" spans="1:18" ht="15">
      <c r="A7" s="17"/>
      <c r="B7" s="28" t="s">
        <v>12</v>
      </c>
      <c r="C7" s="29" t="s">
        <v>9</v>
      </c>
      <c r="D7" s="18"/>
      <c r="E7" s="37"/>
      <c r="F7" s="55"/>
      <c r="G7" s="3"/>
      <c r="H7" s="3"/>
      <c r="I7" s="3"/>
      <c r="J7" s="46"/>
      <c r="K7" s="46"/>
      <c r="L7" s="46"/>
      <c r="M7" s="46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37"/>
      <c r="F8" s="55"/>
      <c r="G8" s="46"/>
      <c r="H8" s="46"/>
      <c r="I8" s="46"/>
      <c r="J8" s="46"/>
      <c r="K8" s="46"/>
      <c r="L8" s="46"/>
      <c r="M8" s="46"/>
      <c r="N8" s="4"/>
      <c r="O8" s="4"/>
      <c r="P8" s="4"/>
      <c r="Q8" s="4"/>
      <c r="R8" s="4"/>
    </row>
    <row r="9" spans="1:18" ht="25.5">
      <c r="A9" s="17"/>
      <c r="B9" s="28" t="s">
        <v>12</v>
      </c>
      <c r="C9" s="29" t="s">
        <v>11</v>
      </c>
      <c r="D9" s="18"/>
      <c r="E9" s="37"/>
      <c r="F9" s="55"/>
      <c r="G9" s="46"/>
      <c r="H9" s="46"/>
      <c r="I9" s="46"/>
      <c r="J9" s="46"/>
      <c r="K9" s="46"/>
      <c r="L9" s="46"/>
      <c r="M9" s="46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31" t="s">
        <v>6</v>
      </c>
      <c r="D10" s="26"/>
      <c r="E10" s="38"/>
      <c r="F10" s="56"/>
      <c r="G10" s="46"/>
      <c r="H10" s="46"/>
      <c r="I10" s="46"/>
      <c r="J10" s="46"/>
      <c r="K10" s="46"/>
      <c r="L10" s="46"/>
      <c r="M10" s="46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83" t="s">
        <v>38</v>
      </c>
      <c r="C11" s="84"/>
      <c r="D11" s="18">
        <f>3049*1.3</f>
        <v>3963.7000000000003</v>
      </c>
      <c r="E11" s="40">
        <f>7.38*1.05</f>
        <v>7.7490000000000006</v>
      </c>
      <c r="F11" s="54">
        <f>ROUND(D11*E11,2)</f>
        <v>30714.71</v>
      </c>
      <c r="G11" s="46"/>
      <c r="H11" s="46"/>
      <c r="I11" s="46"/>
      <c r="J11" s="46"/>
      <c r="K11" s="46"/>
      <c r="L11" s="46"/>
      <c r="M11" s="46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5" t="s">
        <v>41</v>
      </c>
      <c r="C12" s="85"/>
      <c r="D12" s="16">
        <f>1638*1.3</f>
        <v>2129.4</v>
      </c>
      <c r="E12" s="36">
        <f>51.66*1.05</f>
        <v>54.243</v>
      </c>
      <c r="F12" s="54">
        <f>ROUND(D12*E12,2)</f>
        <v>115505.04</v>
      </c>
      <c r="G12" s="46"/>
      <c r="H12" s="46"/>
      <c r="I12" s="46"/>
      <c r="J12" s="46"/>
      <c r="K12" s="46"/>
      <c r="L12" s="46"/>
      <c r="M12" s="46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37"/>
      <c r="F13" s="55"/>
      <c r="G13" s="46"/>
      <c r="H13" s="46"/>
      <c r="I13" s="46"/>
      <c r="J13" s="46"/>
      <c r="K13" s="46"/>
      <c r="L13" s="46"/>
      <c r="M13" s="46"/>
      <c r="N13" s="4"/>
      <c r="O13" s="4"/>
      <c r="P13" s="4"/>
      <c r="Q13" s="4"/>
      <c r="R13" s="4"/>
    </row>
    <row r="14" spans="1:18" ht="15">
      <c r="A14" s="17"/>
      <c r="B14" s="32" t="s">
        <v>12</v>
      </c>
      <c r="C14" s="29" t="s">
        <v>9</v>
      </c>
      <c r="D14" s="18"/>
      <c r="E14" s="37"/>
      <c r="F14" s="55"/>
      <c r="G14" s="46"/>
      <c r="H14" s="46"/>
      <c r="I14" s="46"/>
      <c r="J14" s="46"/>
      <c r="K14" s="46"/>
      <c r="L14" s="46"/>
      <c r="M14" s="46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37"/>
      <c r="F15" s="55"/>
      <c r="G15" s="46"/>
      <c r="H15" s="46"/>
      <c r="I15" s="46"/>
      <c r="J15" s="46"/>
      <c r="K15" s="46"/>
      <c r="L15" s="46"/>
      <c r="M15" s="46"/>
      <c r="N15" s="4"/>
      <c r="O15" s="4"/>
      <c r="P15" s="4"/>
      <c r="Q15" s="4"/>
      <c r="R15" s="4"/>
    </row>
    <row r="16" spans="1:18" ht="25.5">
      <c r="A16" s="17"/>
      <c r="B16" s="32" t="s">
        <v>12</v>
      </c>
      <c r="C16" s="29" t="s">
        <v>13</v>
      </c>
      <c r="D16" s="18"/>
      <c r="E16" s="37"/>
      <c r="F16" s="55"/>
      <c r="G16" s="46"/>
      <c r="H16" s="46"/>
      <c r="I16" s="46"/>
      <c r="J16" s="46"/>
      <c r="K16" s="46"/>
      <c r="L16" s="46"/>
      <c r="M16" s="46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38"/>
      <c r="F17" s="56"/>
      <c r="G17" s="46"/>
      <c r="H17" s="46"/>
      <c r="I17" s="46"/>
      <c r="J17" s="46"/>
      <c r="K17" s="46"/>
      <c r="L17" s="46"/>
      <c r="M17" s="46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83" t="s">
        <v>37</v>
      </c>
      <c r="C18" s="84"/>
      <c r="D18" s="18">
        <f>2201*1.3</f>
        <v>2861.3</v>
      </c>
      <c r="E18" s="40">
        <f>6.15*1.05</f>
        <v>6.4575000000000005</v>
      </c>
      <c r="F18" s="54">
        <f>ROUND(D18*E18,2)</f>
        <v>18476.84</v>
      </c>
      <c r="G18" s="46"/>
      <c r="H18" s="46"/>
      <c r="I18" s="46"/>
      <c r="J18" s="46"/>
      <c r="K18" s="46"/>
      <c r="L18" s="46"/>
      <c r="M18" s="46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5" t="s">
        <v>41</v>
      </c>
      <c r="C19" s="85"/>
      <c r="D19" s="16">
        <f>58*1.3</f>
        <v>75.4</v>
      </c>
      <c r="E19" s="36">
        <f>30.75*1.05</f>
        <v>32.2875</v>
      </c>
      <c r="F19" s="54">
        <f>ROUND(D19*E19,2)</f>
        <v>2434.48</v>
      </c>
      <c r="G19" s="46"/>
      <c r="H19" s="46"/>
      <c r="I19" s="46"/>
      <c r="J19" s="46"/>
      <c r="K19" s="46"/>
      <c r="L19" s="46"/>
      <c r="M19" s="46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37"/>
      <c r="F20" s="55"/>
      <c r="G20" s="46"/>
      <c r="H20" s="46"/>
      <c r="I20" s="46"/>
      <c r="J20" s="46"/>
      <c r="K20" s="46"/>
      <c r="L20" s="46"/>
      <c r="M20" s="46"/>
      <c r="N20" s="4"/>
      <c r="O20" s="4"/>
      <c r="P20" s="4"/>
      <c r="Q20" s="4"/>
      <c r="R20" s="4"/>
    </row>
    <row r="21" spans="1:18" ht="25.5">
      <c r="A21" s="17"/>
      <c r="B21" s="32" t="s">
        <v>12</v>
      </c>
      <c r="C21" s="29" t="s">
        <v>13</v>
      </c>
      <c r="D21" s="18"/>
      <c r="E21" s="37"/>
      <c r="F21" s="55"/>
      <c r="G21" s="46"/>
      <c r="H21" s="46"/>
      <c r="I21" s="46"/>
      <c r="J21" s="46"/>
      <c r="K21" s="46"/>
      <c r="L21" s="46"/>
      <c r="M21" s="46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38"/>
      <c r="F22" s="56"/>
      <c r="G22" s="46"/>
      <c r="H22" s="46"/>
      <c r="I22" s="46"/>
      <c r="J22" s="46"/>
      <c r="K22" s="46"/>
      <c r="L22" s="46"/>
      <c r="M22" s="46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83" t="s">
        <v>39</v>
      </c>
      <c r="C23" s="84"/>
      <c r="D23" s="18">
        <f>169*1.3</f>
        <v>219.70000000000002</v>
      </c>
      <c r="E23" s="40">
        <f>6.15*1.05</f>
        <v>6.4575000000000005</v>
      </c>
      <c r="F23" s="54">
        <f>ROUND(D23*E23,2)</f>
        <v>1418.71</v>
      </c>
      <c r="G23" s="46"/>
      <c r="H23" s="46"/>
      <c r="I23" s="46"/>
      <c r="J23" s="46"/>
      <c r="K23" s="46"/>
      <c r="L23" s="46"/>
      <c r="M23" s="46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5" t="s">
        <v>42</v>
      </c>
      <c r="C24" s="85"/>
      <c r="D24" s="16">
        <f>20*1.3</f>
        <v>26</v>
      </c>
      <c r="E24" s="36">
        <f>31.98*1.05</f>
        <v>33.579</v>
      </c>
      <c r="F24" s="54">
        <f>ROUND(D24*E24,2)</f>
        <v>873.05</v>
      </c>
      <c r="G24" s="46"/>
      <c r="H24" s="46"/>
      <c r="I24" s="46"/>
      <c r="J24" s="46"/>
      <c r="K24" s="46"/>
      <c r="L24" s="46"/>
      <c r="M24" s="46"/>
      <c r="N24" s="4"/>
      <c r="O24" s="4"/>
      <c r="P24" s="4"/>
      <c r="Q24" s="4"/>
      <c r="R24" s="4"/>
    </row>
    <row r="25" spans="1:18" ht="25.5">
      <c r="A25" s="17"/>
      <c r="B25" s="32" t="s">
        <v>12</v>
      </c>
      <c r="C25" s="29" t="s">
        <v>7</v>
      </c>
      <c r="D25" s="18"/>
      <c r="E25" s="37"/>
      <c r="F25" s="55"/>
      <c r="G25" s="46"/>
      <c r="H25" s="46"/>
      <c r="I25" s="46"/>
      <c r="J25" s="46"/>
      <c r="K25" s="46"/>
      <c r="L25" s="46"/>
      <c r="M25" s="46"/>
      <c r="N25" s="4"/>
      <c r="O25" s="4"/>
      <c r="P25" s="4"/>
      <c r="Q25" s="4"/>
      <c r="R25" s="4"/>
    </row>
    <row r="26" spans="1:18" ht="15">
      <c r="A26" s="17"/>
      <c r="B26" s="32" t="s">
        <v>12</v>
      </c>
      <c r="C26" s="29" t="s">
        <v>9</v>
      </c>
      <c r="D26" s="18"/>
      <c r="E26" s="37"/>
      <c r="F26" s="55"/>
      <c r="G26" s="46"/>
      <c r="H26" s="46"/>
      <c r="I26" s="46"/>
      <c r="J26" s="46"/>
      <c r="K26" s="46"/>
      <c r="L26" s="46"/>
      <c r="M26" s="46"/>
      <c r="N26" s="4"/>
      <c r="O26" s="4"/>
      <c r="P26" s="4"/>
      <c r="Q26" s="4"/>
      <c r="R26" s="4"/>
    </row>
    <row r="27" spans="1:18" ht="25.5">
      <c r="A27" s="19"/>
      <c r="B27" s="33" t="s">
        <v>12</v>
      </c>
      <c r="C27" s="31" t="s">
        <v>10</v>
      </c>
      <c r="D27" s="26"/>
      <c r="E27" s="38"/>
      <c r="F27" s="56"/>
      <c r="G27" s="46"/>
      <c r="H27" s="46"/>
      <c r="I27" s="46"/>
      <c r="J27" s="46"/>
      <c r="K27" s="46"/>
      <c r="L27" s="46"/>
      <c r="M27" s="46"/>
      <c r="N27" s="4"/>
      <c r="O27" s="4"/>
      <c r="P27" s="4"/>
      <c r="Q27" s="4"/>
      <c r="R27" s="4"/>
    </row>
    <row r="28" spans="1:18" ht="15">
      <c r="A28" s="19" t="s">
        <v>35</v>
      </c>
      <c r="B28" s="86" t="s">
        <v>40</v>
      </c>
      <c r="C28" s="87"/>
      <c r="D28" s="26">
        <f>32*1.3</f>
        <v>41.6</v>
      </c>
      <c r="E28" s="40">
        <f>6.15*1.05</f>
        <v>6.4575000000000005</v>
      </c>
      <c r="F28" s="54">
        <f>ROUND(D28*E28,2)</f>
        <v>268.63</v>
      </c>
      <c r="G28" s="46"/>
      <c r="H28" s="46"/>
      <c r="I28" s="46"/>
      <c r="J28" s="46"/>
      <c r="K28" s="46"/>
      <c r="L28" s="46"/>
      <c r="M28" s="46"/>
      <c r="N28" s="4"/>
      <c r="O28" s="4"/>
      <c r="P28" s="4"/>
      <c r="Q28" s="4"/>
      <c r="R28" s="4"/>
    </row>
    <row r="29" spans="1:18" ht="29.25" customHeight="1">
      <c r="A29" s="20" t="s">
        <v>5</v>
      </c>
      <c r="B29" s="88" t="s">
        <v>43</v>
      </c>
      <c r="C29" s="88"/>
      <c r="D29" s="27">
        <f>8612*1.3</f>
        <v>11195.6</v>
      </c>
      <c r="E29" s="36">
        <f>19.68*1.05</f>
        <v>20.664</v>
      </c>
      <c r="F29" s="54">
        <f>ROUND(D29*E29,2)</f>
        <v>231345.88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21"/>
      <c r="B30" s="22"/>
      <c r="C30" s="23" t="s">
        <v>18</v>
      </c>
      <c r="D30" s="80">
        <f>SUM(F5:F29)</f>
        <v>699893.8</v>
      </c>
      <c r="E30" s="81"/>
      <c r="F30" s="82"/>
      <c r="G30" s="24"/>
      <c r="H30" s="24"/>
      <c r="I30" s="24"/>
      <c r="J30" s="24"/>
    </row>
    <row r="31" spans="1:10" ht="18">
      <c r="A31" s="21"/>
      <c r="B31" s="22"/>
      <c r="C31" s="23" t="s">
        <v>21</v>
      </c>
      <c r="D31" s="80">
        <f>D30-D32</f>
        <v>130874.4504065041</v>
      </c>
      <c r="E31" s="81"/>
      <c r="F31" s="82"/>
      <c r="G31" s="4"/>
      <c r="H31" s="4"/>
      <c r="I31" s="4"/>
      <c r="J31" s="4"/>
    </row>
    <row r="32" spans="1:10" ht="18">
      <c r="A32" s="21"/>
      <c r="B32" s="22"/>
      <c r="C32" s="23" t="s">
        <v>20</v>
      </c>
      <c r="D32" s="80">
        <f>D30/1.23</f>
        <v>569019.349593496</v>
      </c>
      <c r="E32" s="81"/>
      <c r="F32" s="82"/>
      <c r="G32" s="4"/>
      <c r="H32" s="4"/>
      <c r="I32" s="4"/>
      <c r="J32" s="4"/>
    </row>
    <row r="33" spans="2:10" ht="15">
      <c r="B33" s="46"/>
      <c r="C33" s="46"/>
      <c r="D33" s="8"/>
      <c r="E33" s="8"/>
      <c r="F33" s="2"/>
      <c r="G33" s="4"/>
      <c r="H33" s="4"/>
      <c r="I33" s="4"/>
      <c r="J33" s="4"/>
    </row>
    <row r="34" spans="2:10" ht="15">
      <c r="B34" s="6"/>
      <c r="C34" s="6"/>
      <c r="D34" s="8"/>
      <c r="E34" s="8"/>
      <c r="F34" s="2"/>
      <c r="G34" s="7"/>
      <c r="H34" s="45"/>
      <c r="I34" s="4"/>
      <c r="J34" s="4"/>
    </row>
    <row r="35" spans="2:10" ht="15">
      <c r="B35" s="6"/>
      <c r="C35" s="6" t="s">
        <v>44</v>
      </c>
      <c r="D35" s="8"/>
      <c r="E35" s="8"/>
      <c r="F35" s="49">
        <f>D32*0.5</f>
        <v>284509.674796748</v>
      </c>
      <c r="G35" s="7"/>
      <c r="H35" s="7"/>
      <c r="I35" s="4"/>
      <c r="J35" s="4"/>
    </row>
    <row r="36" spans="2:10" ht="15">
      <c r="B36" s="6"/>
      <c r="C36" s="6"/>
      <c r="D36" s="8"/>
      <c r="E36" s="8"/>
      <c r="F36" s="2"/>
      <c r="G36" s="7"/>
      <c r="H36" s="7"/>
      <c r="I36" s="4"/>
      <c r="J36" s="4"/>
    </row>
    <row r="37" spans="2:10" ht="15">
      <c r="B37" s="6"/>
      <c r="C37" s="6" t="s">
        <v>45</v>
      </c>
      <c r="D37" s="8"/>
      <c r="E37" s="8"/>
      <c r="F37" s="50">
        <f>D32+F35</f>
        <v>853529.0243902439</v>
      </c>
      <c r="G37" s="7"/>
      <c r="H37" s="7"/>
      <c r="I37" s="4"/>
      <c r="J37" s="4"/>
    </row>
    <row r="38" spans="2:10" ht="15">
      <c r="B38" s="6"/>
      <c r="C38" s="6"/>
      <c r="D38" s="8"/>
      <c r="E38" s="8"/>
      <c r="F38" s="2"/>
      <c r="G38" s="7"/>
      <c r="H38" s="7"/>
      <c r="I38" s="4"/>
      <c r="J38" s="4"/>
    </row>
    <row r="39" spans="2:10" ht="15">
      <c r="B39" s="6"/>
      <c r="C39" s="6"/>
      <c r="D39" s="8"/>
      <c r="E39" s="8"/>
      <c r="F39" s="2"/>
      <c r="G39" s="7"/>
      <c r="H39" s="7"/>
      <c r="I39" s="4"/>
      <c r="J39" s="4"/>
    </row>
    <row r="40" spans="2:10" ht="15">
      <c r="B40" s="46"/>
      <c r="C40" s="46"/>
      <c r="D40" s="8"/>
      <c r="E40" s="8"/>
      <c r="F40" s="2"/>
      <c r="G40" s="4"/>
      <c r="H40" s="4"/>
      <c r="I40" s="4"/>
      <c r="J40" s="4"/>
    </row>
    <row r="41" spans="2:10" ht="28.5">
      <c r="B41" s="46"/>
      <c r="C41" s="52" t="s">
        <v>52</v>
      </c>
      <c r="D41" s="8"/>
      <c r="E41" s="8"/>
      <c r="F41" s="2"/>
      <c r="G41" s="4"/>
      <c r="H41" s="4"/>
      <c r="I41" s="4"/>
      <c r="J41" s="4"/>
    </row>
    <row r="42" spans="2:10" ht="15">
      <c r="B42" s="46"/>
      <c r="C42" s="46"/>
      <c r="D42" s="8"/>
      <c r="E42" s="8"/>
      <c r="F42" s="2"/>
      <c r="G42" s="4"/>
      <c r="H42" s="4"/>
      <c r="I42" s="4"/>
      <c r="J42" s="4"/>
    </row>
    <row r="43" spans="2:10" ht="15">
      <c r="B43" s="46"/>
      <c r="C43" s="46"/>
      <c r="D43" s="8"/>
      <c r="E43" s="8"/>
      <c r="F43" s="2"/>
      <c r="G43" s="4"/>
      <c r="H43" s="4"/>
      <c r="I43" s="4"/>
      <c r="J43" s="4"/>
    </row>
    <row r="44" spans="2:10" ht="15">
      <c r="B44" s="46"/>
      <c r="C44" s="46"/>
      <c r="D44" s="8"/>
      <c r="E44" s="8"/>
      <c r="F44" s="2"/>
      <c r="G44" s="4"/>
      <c r="H44" s="4"/>
      <c r="I44" s="4"/>
      <c r="J44" s="4"/>
    </row>
    <row r="45" spans="2:10" ht="15">
      <c r="B45" s="46"/>
      <c r="C45" s="46"/>
      <c r="D45" s="8"/>
      <c r="E45" s="8"/>
      <c r="F45" s="2"/>
      <c r="G45" s="4"/>
      <c r="H45" s="4"/>
      <c r="I45" s="4"/>
      <c r="J45" s="4"/>
    </row>
    <row r="46" spans="2:10" ht="15">
      <c r="B46" s="46"/>
      <c r="C46" s="46"/>
      <c r="D46" s="8"/>
      <c r="E46" s="8"/>
      <c r="F46" s="2"/>
      <c r="G46" s="4"/>
      <c r="H46" s="4"/>
      <c r="I46" s="4"/>
      <c r="J46" s="4"/>
    </row>
    <row r="47" spans="2:10" ht="15">
      <c r="B47" s="46"/>
      <c r="C47" s="46"/>
      <c r="D47" s="8"/>
      <c r="E47" s="8"/>
      <c r="F47" s="2"/>
      <c r="G47" s="4"/>
      <c r="H47" s="4"/>
      <c r="I47" s="4"/>
      <c r="J47" s="4"/>
    </row>
    <row r="48" spans="2:10" ht="15">
      <c r="B48" s="46"/>
      <c r="C48" s="46"/>
      <c r="D48" s="8"/>
      <c r="E48" s="8"/>
      <c r="F48" s="2"/>
      <c r="G48" s="4"/>
      <c r="H48" s="4"/>
      <c r="I48" s="4"/>
      <c r="J48" s="4"/>
    </row>
    <row r="49" spans="2:10" ht="15">
      <c r="B49" s="46"/>
      <c r="C49" s="46"/>
      <c r="D49" s="8"/>
      <c r="E49" s="8"/>
      <c r="F49" s="2"/>
      <c r="G49" s="4"/>
      <c r="H49" s="4"/>
      <c r="I49" s="4"/>
      <c r="J49" s="4"/>
    </row>
    <row r="50" spans="2:10" ht="15">
      <c r="B50" s="46"/>
      <c r="C50" s="46"/>
      <c r="D50" s="8"/>
      <c r="E50" s="8"/>
      <c r="F50" s="2"/>
      <c r="G50" s="4"/>
      <c r="H50" s="4"/>
      <c r="I50" s="4"/>
      <c r="J50" s="4"/>
    </row>
    <row r="51" spans="2:10" ht="15">
      <c r="B51" s="46"/>
      <c r="C51" s="46"/>
      <c r="D51" s="8"/>
      <c r="E51" s="8"/>
      <c r="F51" s="2"/>
      <c r="G51" s="4"/>
      <c r="H51" s="4"/>
      <c r="I51" s="4"/>
      <c r="J51" s="4"/>
    </row>
    <row r="52" spans="2:10" ht="15">
      <c r="B52" s="46"/>
      <c r="C52" s="46"/>
      <c r="D52" s="8"/>
      <c r="E52" s="8"/>
      <c r="F52" s="2"/>
      <c r="G52" s="4"/>
      <c r="H52" s="4"/>
      <c r="I52" s="4"/>
      <c r="J52" s="4"/>
    </row>
    <row r="53" spans="2:10" ht="15">
      <c r="B53" s="46"/>
      <c r="C53" s="46"/>
      <c r="D53" s="8"/>
      <c r="E53" s="8"/>
      <c r="F53" s="2"/>
      <c r="G53" s="4"/>
      <c r="H53" s="4"/>
      <c r="I53" s="4"/>
      <c r="J53" s="4"/>
    </row>
    <row r="54" spans="2:10" ht="15">
      <c r="B54" s="46"/>
      <c r="C54" s="46"/>
      <c r="D54" s="8"/>
      <c r="E54" s="8"/>
      <c r="F54" s="2"/>
      <c r="G54" s="4"/>
      <c r="H54" s="4"/>
      <c r="I54" s="4"/>
      <c r="J54" s="4"/>
    </row>
  </sheetData>
  <sheetProtection/>
  <mergeCells count="15">
    <mergeCell ref="A1:F1"/>
    <mergeCell ref="A2:F2"/>
    <mergeCell ref="B4:C4"/>
    <mergeCell ref="B5:C5"/>
    <mergeCell ref="B11:C11"/>
    <mergeCell ref="B12:C12"/>
    <mergeCell ref="D30:F30"/>
    <mergeCell ref="D31:F31"/>
    <mergeCell ref="D32:F32"/>
    <mergeCell ref="B18:C18"/>
    <mergeCell ref="B19:C19"/>
    <mergeCell ref="B23:C23"/>
    <mergeCell ref="B24:C24"/>
    <mergeCell ref="B28:C28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7">
      <selection activeCell="D5" sqref="D5"/>
    </sheetView>
  </sheetViews>
  <sheetFormatPr defaultColWidth="8.796875" defaultRowHeight="14.25"/>
  <cols>
    <col min="1" max="1" width="6.3984375" style="53" customWidth="1"/>
    <col min="2" max="2" width="2.09765625" style="1" customWidth="1"/>
    <col min="3" max="3" width="50" style="1" customWidth="1"/>
    <col min="4" max="4" width="12.69921875" style="5" customWidth="1"/>
    <col min="5" max="5" width="8.69921875" style="5" customWidth="1"/>
    <col min="6" max="6" width="12.19921875" style="5" customWidth="1"/>
    <col min="7" max="7" width="17.5" style="13" customWidth="1"/>
    <col min="8" max="8" width="5.19921875" style="0" customWidth="1"/>
    <col min="9" max="9" width="17.09765625" style="0" customWidth="1"/>
  </cols>
  <sheetData>
    <row r="1" spans="1:7" ht="15">
      <c r="A1" s="89" t="s">
        <v>46</v>
      </c>
      <c r="B1" s="89"/>
      <c r="C1" s="89"/>
      <c r="D1" s="89"/>
      <c r="E1" s="89"/>
      <c r="F1" s="89"/>
      <c r="G1" s="89"/>
    </row>
    <row r="2" spans="1:7" ht="30.75" customHeight="1">
      <c r="A2" s="90" t="s">
        <v>53</v>
      </c>
      <c r="B2" s="90"/>
      <c r="C2" s="90"/>
      <c r="D2" s="90"/>
      <c r="E2" s="90"/>
      <c r="F2" s="90"/>
      <c r="G2" s="90"/>
    </row>
    <row r="4" spans="1:19" s="12" customFormat="1" ht="43.5" customHeight="1">
      <c r="A4" s="14" t="s">
        <v>8</v>
      </c>
      <c r="B4" s="91" t="s">
        <v>0</v>
      </c>
      <c r="C4" s="91"/>
      <c r="D4" s="67" t="s">
        <v>58</v>
      </c>
      <c r="E4" s="67" t="s">
        <v>59</v>
      </c>
      <c r="F4" s="67" t="s">
        <v>62</v>
      </c>
      <c r="G4" s="51" t="s">
        <v>17</v>
      </c>
      <c r="H4" s="9"/>
      <c r="I4" s="9"/>
      <c r="J4" s="9"/>
      <c r="K4" s="10"/>
      <c r="L4" s="10"/>
      <c r="M4" s="10"/>
      <c r="N4" s="10"/>
      <c r="O4" s="11"/>
      <c r="P4" s="11"/>
      <c r="Q4" s="11"/>
      <c r="R4" s="11"/>
      <c r="S4" s="11"/>
    </row>
    <row r="5" spans="1:19" ht="42" customHeight="1">
      <c r="A5" s="15" t="s">
        <v>1</v>
      </c>
      <c r="B5" s="85" t="s">
        <v>41</v>
      </c>
      <c r="C5" s="85"/>
      <c r="D5" s="16">
        <v>3990</v>
      </c>
      <c r="E5" s="16" t="s">
        <v>60</v>
      </c>
      <c r="F5" s="36"/>
      <c r="G5" s="54">
        <f>ROUND(D5*F5,2)</f>
        <v>0</v>
      </c>
      <c r="H5" s="3"/>
      <c r="I5" s="3"/>
      <c r="J5" s="3"/>
      <c r="K5" s="52"/>
      <c r="L5" s="52"/>
      <c r="M5" s="52"/>
      <c r="N5" s="52"/>
      <c r="O5" s="4"/>
      <c r="P5" s="4"/>
      <c r="Q5" s="4"/>
      <c r="R5" s="4"/>
      <c r="S5" s="4"/>
    </row>
    <row r="6" spans="1:19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3"/>
      <c r="K6" s="52"/>
      <c r="L6" s="52"/>
      <c r="M6" s="52"/>
      <c r="N6" s="52"/>
      <c r="O6" s="4"/>
      <c r="P6" s="4"/>
      <c r="Q6" s="4"/>
      <c r="R6" s="4"/>
      <c r="S6" s="4"/>
    </row>
    <row r="7" spans="1:19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3"/>
      <c r="K7" s="52"/>
      <c r="L7" s="52"/>
      <c r="M7" s="52"/>
      <c r="N7" s="52"/>
      <c r="O7" s="4"/>
      <c r="P7" s="4"/>
      <c r="Q7" s="4"/>
      <c r="R7" s="4"/>
      <c r="S7" s="4"/>
    </row>
    <row r="8" spans="1:19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52"/>
      <c r="O8" s="4"/>
      <c r="P8" s="4"/>
      <c r="Q8" s="4"/>
      <c r="R8" s="4"/>
      <c r="S8" s="4"/>
    </row>
    <row r="9" spans="1:19" ht="38.25">
      <c r="A9" s="17"/>
      <c r="B9" s="28" t="s">
        <v>12</v>
      </c>
      <c r="C9" s="29" t="s">
        <v>11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52"/>
      <c r="O9" s="4"/>
      <c r="P9" s="4"/>
      <c r="Q9" s="4"/>
      <c r="R9" s="4"/>
      <c r="S9" s="4"/>
    </row>
    <row r="10" spans="1:19" ht="81.75" customHeight="1">
      <c r="A10" s="19"/>
      <c r="B10" s="30" t="s">
        <v>12</v>
      </c>
      <c r="C10" s="31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52"/>
      <c r="O10" s="4"/>
      <c r="P10" s="4"/>
      <c r="Q10" s="4"/>
      <c r="R10" s="4"/>
      <c r="S10" s="4"/>
    </row>
    <row r="11" spans="1:19" s="43" customFormat="1" ht="34.5" customHeight="1">
      <c r="A11" s="44" t="s">
        <v>28</v>
      </c>
      <c r="B11" s="92" t="s">
        <v>38</v>
      </c>
      <c r="C11" s="93"/>
      <c r="D11" s="18">
        <v>3964</v>
      </c>
      <c r="E11" s="18" t="s">
        <v>60</v>
      </c>
      <c r="F11" s="40"/>
      <c r="G11" s="54">
        <f>ROUND(D11*F11,2)</f>
        <v>0</v>
      </c>
      <c r="H11" s="52"/>
      <c r="I11" s="52"/>
      <c r="J11" s="52"/>
      <c r="K11" s="52"/>
      <c r="L11" s="52"/>
      <c r="M11" s="52"/>
      <c r="N11" s="52"/>
      <c r="O11" s="42"/>
      <c r="P11" s="42"/>
      <c r="Q11" s="42"/>
      <c r="R11" s="42"/>
      <c r="S11" s="42"/>
    </row>
    <row r="12" spans="1:19" ht="40.5" customHeight="1">
      <c r="A12" s="15" t="s">
        <v>2</v>
      </c>
      <c r="B12" s="85" t="s">
        <v>41</v>
      </c>
      <c r="C12" s="85"/>
      <c r="D12" s="16">
        <v>2130</v>
      </c>
      <c r="E12" s="16" t="s">
        <v>60</v>
      </c>
      <c r="F12" s="36"/>
      <c r="G12" s="54">
        <f>ROUND(D12*F12,2)</f>
        <v>0</v>
      </c>
      <c r="H12" s="52"/>
      <c r="I12" s="52"/>
      <c r="J12" s="52"/>
      <c r="K12" s="52"/>
      <c r="L12" s="52"/>
      <c r="M12" s="52"/>
      <c r="N12" s="52"/>
      <c r="O12" s="4"/>
      <c r="P12" s="4"/>
      <c r="Q12" s="4"/>
      <c r="R12" s="4"/>
      <c r="S12" s="4"/>
    </row>
    <row r="13" spans="1:19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52"/>
      <c r="O13" s="4"/>
      <c r="P13" s="4"/>
      <c r="Q13" s="4"/>
      <c r="R13" s="4"/>
      <c r="S13" s="4"/>
    </row>
    <row r="14" spans="1:19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52"/>
      <c r="O14" s="4"/>
      <c r="P14" s="4"/>
      <c r="Q14" s="4"/>
      <c r="R14" s="4"/>
      <c r="S14" s="4"/>
    </row>
    <row r="15" spans="1:19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52"/>
      <c r="O15" s="4"/>
      <c r="P15" s="4"/>
      <c r="Q15" s="4"/>
      <c r="R15" s="4"/>
      <c r="S15" s="4"/>
    </row>
    <row r="16" spans="1:19" ht="38.25">
      <c r="A16" s="17"/>
      <c r="B16" s="32" t="s">
        <v>12</v>
      </c>
      <c r="C16" s="29" t="s">
        <v>13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52"/>
      <c r="O16" s="4"/>
      <c r="P16" s="4"/>
      <c r="Q16" s="4"/>
      <c r="R16" s="4"/>
      <c r="S16" s="4"/>
    </row>
    <row r="17" spans="1:19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52"/>
      <c r="O17" s="4"/>
      <c r="P17" s="4"/>
      <c r="Q17" s="4"/>
      <c r="R17" s="4"/>
      <c r="S17" s="4"/>
    </row>
    <row r="18" spans="1:19" s="43" customFormat="1" ht="34.5" customHeight="1">
      <c r="A18" s="44" t="s">
        <v>33</v>
      </c>
      <c r="B18" s="92" t="s">
        <v>37</v>
      </c>
      <c r="C18" s="93"/>
      <c r="D18" s="18">
        <v>2861</v>
      </c>
      <c r="E18" s="18" t="s">
        <v>60</v>
      </c>
      <c r="F18" s="40"/>
      <c r="G18" s="54">
        <f>ROUND(D18*F18,2)</f>
        <v>0</v>
      </c>
      <c r="H18" s="52"/>
      <c r="I18" s="52"/>
      <c r="J18" s="52"/>
      <c r="K18" s="52"/>
      <c r="L18" s="52"/>
      <c r="M18" s="52"/>
      <c r="N18" s="52"/>
      <c r="O18" s="42"/>
      <c r="P18" s="42"/>
      <c r="Q18" s="42"/>
      <c r="R18" s="42"/>
      <c r="S18" s="42"/>
    </row>
    <row r="19" spans="1:19" ht="40.5" customHeight="1">
      <c r="A19" s="15" t="s">
        <v>3</v>
      </c>
      <c r="B19" s="85" t="s">
        <v>41</v>
      </c>
      <c r="C19" s="85"/>
      <c r="D19" s="16">
        <v>76</v>
      </c>
      <c r="E19" s="16" t="s">
        <v>60</v>
      </c>
      <c r="F19" s="36"/>
      <c r="G19" s="54">
        <f>ROUND(D19*F19,2)</f>
        <v>0</v>
      </c>
      <c r="H19" s="52"/>
      <c r="I19" s="52"/>
      <c r="J19" s="52"/>
      <c r="K19" s="52"/>
      <c r="L19" s="52"/>
      <c r="M19" s="52"/>
      <c r="N19" s="52"/>
      <c r="O19" s="4"/>
      <c r="P19" s="4"/>
      <c r="Q19" s="4"/>
      <c r="R19" s="4"/>
      <c r="S19" s="4"/>
    </row>
    <row r="20" spans="1:19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52"/>
      <c r="O20" s="4"/>
      <c r="P20" s="4"/>
      <c r="Q20" s="4"/>
      <c r="R20" s="4"/>
      <c r="S20" s="4"/>
    </row>
    <row r="21" spans="1:19" ht="38.25">
      <c r="A21" s="17"/>
      <c r="B21" s="32" t="s">
        <v>12</v>
      </c>
      <c r="C21" s="29" t="s">
        <v>13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52"/>
      <c r="O21" s="4"/>
      <c r="P21" s="4"/>
      <c r="Q21" s="4"/>
      <c r="R21" s="4"/>
      <c r="S21" s="4"/>
    </row>
    <row r="22" spans="1:19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52"/>
      <c r="O22" s="4"/>
      <c r="P22" s="4"/>
      <c r="Q22" s="4"/>
      <c r="R22" s="4"/>
      <c r="S22" s="4"/>
    </row>
    <row r="23" spans="1:19" s="43" customFormat="1" ht="34.5" customHeight="1">
      <c r="A23" s="41" t="s">
        <v>34</v>
      </c>
      <c r="B23" s="92" t="s">
        <v>39</v>
      </c>
      <c r="C23" s="93"/>
      <c r="D23" s="18">
        <v>220</v>
      </c>
      <c r="E23" s="18" t="s">
        <v>60</v>
      </c>
      <c r="F23" s="40"/>
      <c r="G23" s="54">
        <f>ROUND(D23*F23,2)</f>
        <v>0</v>
      </c>
      <c r="H23" s="52"/>
      <c r="I23" s="52"/>
      <c r="J23" s="52"/>
      <c r="K23" s="52"/>
      <c r="L23" s="52"/>
      <c r="M23" s="52"/>
      <c r="N23" s="52"/>
      <c r="O23" s="42"/>
      <c r="P23" s="42"/>
      <c r="Q23" s="42"/>
      <c r="R23" s="42"/>
      <c r="S23" s="42"/>
    </row>
    <row r="24" spans="1:19" ht="39.75" customHeight="1">
      <c r="A24" s="15" t="s">
        <v>4</v>
      </c>
      <c r="B24" s="85" t="s">
        <v>42</v>
      </c>
      <c r="C24" s="85"/>
      <c r="D24" s="16">
        <v>26</v>
      </c>
      <c r="E24" s="16" t="s">
        <v>60</v>
      </c>
      <c r="F24" s="36"/>
      <c r="G24" s="54">
        <f>ROUND(D24*F24,2)</f>
        <v>0</v>
      </c>
      <c r="H24" s="52"/>
      <c r="I24" s="52"/>
      <c r="J24" s="52"/>
      <c r="K24" s="52"/>
      <c r="L24" s="52"/>
      <c r="M24" s="52"/>
      <c r="N24" s="52"/>
      <c r="O24" s="4"/>
      <c r="P24" s="4"/>
      <c r="Q24" s="4"/>
      <c r="R24" s="4"/>
      <c r="S24" s="4"/>
    </row>
    <row r="25" spans="1:19" ht="25.5">
      <c r="A25" s="17"/>
      <c r="B25" s="69" t="s">
        <v>56</v>
      </c>
      <c r="C25" s="29" t="s">
        <v>55</v>
      </c>
      <c r="D25" s="18"/>
      <c r="E25" s="18"/>
      <c r="F25" s="37"/>
      <c r="G25" s="55"/>
      <c r="H25" s="52"/>
      <c r="I25" s="52"/>
      <c r="J25" s="52"/>
      <c r="K25" s="52"/>
      <c r="L25" s="52"/>
      <c r="M25" s="52"/>
      <c r="N25" s="52"/>
      <c r="O25" s="4"/>
      <c r="P25" s="4"/>
      <c r="Q25" s="4"/>
      <c r="R25" s="4"/>
      <c r="S25" s="4"/>
    </row>
    <row r="26" spans="1:19" ht="25.5">
      <c r="A26" s="17"/>
      <c r="B26" s="70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52"/>
      <c r="O26" s="4"/>
      <c r="P26" s="4"/>
      <c r="Q26" s="4"/>
      <c r="R26" s="4"/>
      <c r="S26" s="4"/>
    </row>
    <row r="27" spans="1:19" ht="38.25">
      <c r="A27" s="17"/>
      <c r="B27" s="70" t="s">
        <v>12</v>
      </c>
      <c r="C27" s="29" t="s">
        <v>54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52"/>
      <c r="O27" s="4"/>
      <c r="P27" s="4"/>
      <c r="Q27" s="4"/>
      <c r="R27" s="4"/>
      <c r="S27" s="4"/>
    </row>
    <row r="28" spans="1:19" ht="30" customHeight="1">
      <c r="A28" s="19" t="s">
        <v>35</v>
      </c>
      <c r="B28" s="94" t="s">
        <v>40</v>
      </c>
      <c r="C28" s="95"/>
      <c r="D28" s="26">
        <v>42</v>
      </c>
      <c r="E28" s="26" t="s">
        <v>60</v>
      </c>
      <c r="F28" s="40"/>
      <c r="G28" s="54">
        <f>ROUND(D28*F28,2)</f>
        <v>0</v>
      </c>
      <c r="H28" s="52"/>
      <c r="I28" s="52"/>
      <c r="J28" s="52"/>
      <c r="K28" s="52"/>
      <c r="L28" s="52"/>
      <c r="M28" s="52"/>
      <c r="N28" s="52"/>
      <c r="O28" s="4"/>
      <c r="P28" s="4"/>
      <c r="Q28" s="4"/>
      <c r="R28" s="4"/>
      <c r="S28" s="4"/>
    </row>
    <row r="29" spans="1:19" ht="45" customHeight="1">
      <c r="A29" s="20" t="s">
        <v>5</v>
      </c>
      <c r="B29" s="88" t="s">
        <v>43</v>
      </c>
      <c r="C29" s="88"/>
      <c r="D29" s="27">
        <v>11196</v>
      </c>
      <c r="E29" s="16" t="s">
        <v>60</v>
      </c>
      <c r="F29" s="71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45" customHeight="1">
      <c r="A30" s="15" t="s">
        <v>57</v>
      </c>
      <c r="B30" s="96" t="s">
        <v>63</v>
      </c>
      <c r="C30" s="96"/>
      <c r="D30" s="16">
        <v>1000</v>
      </c>
      <c r="E30" s="16" t="s">
        <v>61</v>
      </c>
      <c r="F30" s="36"/>
      <c r="G30" s="54">
        <f>ROUND(D30*F30,2)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" customHeight="1">
      <c r="A31" s="41"/>
      <c r="B31" s="72" t="s">
        <v>64</v>
      </c>
      <c r="C31" s="73" t="s">
        <v>65</v>
      </c>
      <c r="D31" s="18"/>
      <c r="E31" s="18"/>
      <c r="F31" s="36"/>
      <c r="G31" s="5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" customHeight="1">
      <c r="A32" s="41"/>
      <c r="B32" s="72" t="s">
        <v>56</v>
      </c>
      <c r="C32" s="73" t="s">
        <v>66</v>
      </c>
      <c r="D32" s="18"/>
      <c r="E32" s="18"/>
      <c r="F32" s="36"/>
      <c r="G32" s="5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" customHeight="1">
      <c r="A33" s="17"/>
      <c r="B33" s="74" t="s">
        <v>12</v>
      </c>
      <c r="C33" s="73" t="s">
        <v>67</v>
      </c>
      <c r="D33" s="26"/>
      <c r="E33" s="26"/>
      <c r="F33" s="37"/>
      <c r="G33" s="55"/>
      <c r="H33" s="52"/>
      <c r="I33" s="52"/>
      <c r="J33" s="52"/>
      <c r="K33" s="52"/>
      <c r="L33" s="52"/>
      <c r="M33" s="52"/>
      <c r="N33" s="52"/>
      <c r="O33" s="4"/>
      <c r="P33" s="4"/>
      <c r="Q33" s="4"/>
      <c r="R33" s="4"/>
      <c r="S33" s="4"/>
    </row>
    <row r="34" spans="1:11" s="25" customFormat="1" ht="29.25" customHeight="1">
      <c r="A34" s="21"/>
      <c r="B34" s="22"/>
      <c r="C34" s="23" t="s">
        <v>18</v>
      </c>
      <c r="D34" s="23"/>
      <c r="E34" s="80">
        <f>SUM(G5:G30)</f>
        <v>0</v>
      </c>
      <c r="F34" s="81"/>
      <c r="G34" s="82"/>
      <c r="H34" s="24"/>
      <c r="I34" s="24"/>
      <c r="J34" s="24"/>
      <c r="K34" s="24"/>
    </row>
    <row r="35" spans="1:11" ht="18">
      <c r="A35" s="21"/>
      <c r="B35" s="22"/>
      <c r="C35" s="23" t="s">
        <v>21</v>
      </c>
      <c r="D35" s="23"/>
      <c r="E35" s="80">
        <f>E34-E36</f>
        <v>0</v>
      </c>
      <c r="F35" s="81"/>
      <c r="G35" s="82"/>
      <c r="H35" s="4"/>
      <c r="I35" s="4"/>
      <c r="J35" s="4"/>
      <c r="K35" s="4"/>
    </row>
    <row r="36" spans="1:11" ht="18">
      <c r="A36" s="21"/>
      <c r="B36" s="22"/>
      <c r="C36" s="23" t="s">
        <v>20</v>
      </c>
      <c r="D36" s="23"/>
      <c r="E36" s="80">
        <f>E34/1.23</f>
        <v>0</v>
      </c>
      <c r="F36" s="81"/>
      <c r="G36" s="82"/>
      <c r="H36" s="4"/>
      <c r="I36" s="4"/>
      <c r="J36" s="4"/>
      <c r="K36" s="4"/>
    </row>
    <row r="37" spans="2:11" ht="15">
      <c r="B37" s="52"/>
      <c r="C37" s="52"/>
      <c r="D37" s="8"/>
      <c r="E37" s="8"/>
      <c r="F37" s="8"/>
      <c r="G37" s="2"/>
      <c r="H37" s="4"/>
      <c r="I37" s="4"/>
      <c r="J37" s="4"/>
      <c r="K37" s="4"/>
    </row>
    <row r="38" spans="2:11" ht="15">
      <c r="B38" s="6"/>
      <c r="C38" s="6"/>
      <c r="D38" s="8"/>
      <c r="E38" s="8"/>
      <c r="F38" s="8"/>
      <c r="G38" s="2"/>
      <c r="H38" s="7"/>
      <c r="I38" s="45"/>
      <c r="J38" s="4"/>
      <c r="K38" s="4"/>
    </row>
    <row r="39" spans="2:11" ht="15">
      <c r="B39" s="6"/>
      <c r="C39" s="6"/>
      <c r="D39" s="8"/>
      <c r="E39" s="8"/>
      <c r="F39" s="8"/>
      <c r="G39" s="2"/>
      <c r="H39" s="7"/>
      <c r="I39" s="7"/>
      <c r="J39" s="4"/>
      <c r="K39" s="4"/>
    </row>
    <row r="40" spans="2:11" ht="15">
      <c r="B40" s="6"/>
      <c r="C40" s="6"/>
      <c r="D40" s="8"/>
      <c r="E40" s="8"/>
      <c r="F40" s="8"/>
      <c r="G40" s="2"/>
      <c r="H40" s="7"/>
      <c r="I40" s="7"/>
      <c r="J40" s="4"/>
      <c r="K40" s="4"/>
    </row>
    <row r="41" spans="2:11" ht="15">
      <c r="B41" s="52"/>
      <c r="C41" s="52"/>
      <c r="D41" s="8"/>
      <c r="E41" s="8"/>
      <c r="F41" s="8"/>
      <c r="G41" s="2"/>
      <c r="H41" s="4"/>
      <c r="I41" s="4"/>
      <c r="J41" s="4"/>
      <c r="K41" s="4"/>
    </row>
    <row r="42" spans="2:11" ht="15">
      <c r="B42" s="52"/>
      <c r="C42" s="52"/>
      <c r="D42" s="8"/>
      <c r="E42" s="8"/>
      <c r="F42" s="8"/>
      <c r="G42" s="2"/>
      <c r="H42" s="4"/>
      <c r="I42" s="4"/>
      <c r="J42" s="4"/>
      <c r="K42" s="4"/>
    </row>
    <row r="43" spans="2:11" ht="15">
      <c r="B43" s="52"/>
      <c r="C43" s="52"/>
      <c r="D43" s="8"/>
      <c r="E43" s="8"/>
      <c r="F43" s="8"/>
      <c r="G43" s="2"/>
      <c r="H43" s="4"/>
      <c r="I43" s="4"/>
      <c r="J43" s="4"/>
      <c r="K43" s="4"/>
    </row>
    <row r="44" spans="2:11" ht="15">
      <c r="B44" s="52"/>
      <c r="C44" s="52"/>
      <c r="D44" s="8"/>
      <c r="E44" s="8"/>
      <c r="F44" s="8"/>
      <c r="G44" s="2"/>
      <c r="H44" s="4"/>
      <c r="I44" s="4"/>
      <c r="J44" s="4"/>
      <c r="K44" s="4"/>
    </row>
    <row r="45" spans="2:11" ht="15">
      <c r="B45" s="52"/>
      <c r="C45" s="52"/>
      <c r="D45" s="8"/>
      <c r="E45" s="8"/>
      <c r="F45" s="8"/>
      <c r="G45" s="2"/>
      <c r="H45" s="4"/>
      <c r="I45" s="4"/>
      <c r="J45" s="4"/>
      <c r="K45" s="4"/>
    </row>
    <row r="46" spans="2:11" ht="15">
      <c r="B46" s="52"/>
      <c r="C46" s="52"/>
      <c r="D46" s="8"/>
      <c r="E46" s="8"/>
      <c r="F46" s="8"/>
      <c r="G46" s="2"/>
      <c r="H46" s="4"/>
      <c r="I46" s="4"/>
      <c r="J46" s="4"/>
      <c r="K46" s="4"/>
    </row>
    <row r="47" spans="2:11" ht="15">
      <c r="B47" s="52"/>
      <c r="C47" s="52"/>
      <c r="D47" s="8"/>
      <c r="E47" s="8"/>
      <c r="F47" s="8"/>
      <c r="G47" s="2"/>
      <c r="H47" s="4"/>
      <c r="I47" s="4"/>
      <c r="J47" s="4"/>
      <c r="K47" s="4"/>
    </row>
    <row r="48" spans="2:11" ht="15">
      <c r="B48" s="52"/>
      <c r="C48" s="52"/>
      <c r="D48" s="8"/>
      <c r="E48" s="8"/>
      <c r="F48" s="8"/>
      <c r="G48" s="2"/>
      <c r="H48" s="4"/>
      <c r="I48" s="4"/>
      <c r="J48" s="4"/>
      <c r="K48" s="4"/>
    </row>
    <row r="49" spans="2:11" ht="15">
      <c r="B49" s="52"/>
      <c r="C49" s="52"/>
      <c r="D49" s="8"/>
      <c r="E49" s="8"/>
      <c r="F49" s="8"/>
      <c r="G49" s="2"/>
      <c r="H49" s="4"/>
      <c r="I49" s="4"/>
      <c r="J49" s="4"/>
      <c r="K49" s="4"/>
    </row>
    <row r="50" spans="2:11" ht="15">
      <c r="B50" s="52"/>
      <c r="C50" s="52"/>
      <c r="D50" s="8"/>
      <c r="E50" s="8"/>
      <c r="F50" s="8"/>
      <c r="G50" s="2"/>
      <c r="H50" s="4"/>
      <c r="I50" s="4"/>
      <c r="J50" s="4"/>
      <c r="K50" s="4"/>
    </row>
    <row r="51" spans="2:11" ht="15">
      <c r="B51" s="52"/>
      <c r="C51" s="52"/>
      <c r="D51" s="8"/>
      <c r="E51" s="8"/>
      <c r="F51" s="8"/>
      <c r="G51" s="2"/>
      <c r="H51" s="4"/>
      <c r="I51" s="4"/>
      <c r="J51" s="4"/>
      <c r="K51" s="4"/>
    </row>
    <row r="52" spans="2:11" ht="15">
      <c r="B52" s="52"/>
      <c r="C52" s="52"/>
      <c r="D52" s="8"/>
      <c r="E52" s="8"/>
      <c r="F52" s="8"/>
      <c r="G52" s="2"/>
      <c r="H52" s="4"/>
      <c r="I52" s="4"/>
      <c r="J52" s="4"/>
      <c r="K52" s="4"/>
    </row>
    <row r="53" spans="2:11" ht="15">
      <c r="B53" s="52"/>
      <c r="C53" s="52"/>
      <c r="D53" s="8"/>
      <c r="E53" s="8"/>
      <c r="F53" s="8"/>
      <c r="G53" s="2"/>
      <c r="H53" s="4"/>
      <c r="I53" s="4"/>
      <c r="J53" s="4"/>
      <c r="K53" s="4"/>
    </row>
    <row r="54" spans="2:11" ht="15">
      <c r="B54" s="52"/>
      <c r="C54" s="52"/>
      <c r="D54" s="8"/>
      <c r="E54" s="8"/>
      <c r="F54" s="8"/>
      <c r="G54" s="2"/>
      <c r="H54" s="4"/>
      <c r="I54" s="4"/>
      <c r="J54" s="4"/>
      <c r="K54" s="4"/>
    </row>
    <row r="55" spans="2:11" ht="15">
      <c r="B55" s="52"/>
      <c r="C55" s="52"/>
      <c r="D55" s="8"/>
      <c r="E55" s="8"/>
      <c r="F55" s="8"/>
      <c r="G55" s="2"/>
      <c r="H55" s="4"/>
      <c r="I55" s="4"/>
      <c r="J55" s="4"/>
      <c r="K55" s="4"/>
    </row>
  </sheetData>
  <sheetProtection/>
  <mergeCells count="16">
    <mergeCell ref="E34:G34"/>
    <mergeCell ref="E35:G35"/>
    <mergeCell ref="E36:G36"/>
    <mergeCell ref="B18:C18"/>
    <mergeCell ref="B19:C19"/>
    <mergeCell ref="B23:C23"/>
    <mergeCell ref="B24:C24"/>
    <mergeCell ref="B28:C28"/>
    <mergeCell ref="B30:C30"/>
    <mergeCell ref="B29:C29"/>
    <mergeCell ref="A1:G1"/>
    <mergeCell ref="A2:G2"/>
    <mergeCell ref="B4:C4"/>
    <mergeCell ref="B5:C5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1">
      <selection activeCell="F29" sqref="F29"/>
    </sheetView>
  </sheetViews>
  <sheetFormatPr defaultColWidth="8.796875" defaultRowHeight="14.25"/>
  <cols>
    <col min="1" max="1" width="6.3984375" style="75" customWidth="1"/>
    <col min="2" max="2" width="2.09765625" style="1" customWidth="1"/>
    <col min="3" max="3" width="50" style="1" customWidth="1"/>
    <col min="4" max="4" width="12.69921875" style="5" customWidth="1"/>
    <col min="5" max="5" width="12.19921875" style="5" customWidth="1"/>
    <col min="6" max="6" width="17.5" style="13" customWidth="1"/>
    <col min="7" max="7" width="21.5" style="0" customWidth="1"/>
    <col min="8" max="8" width="17.09765625" style="0" customWidth="1"/>
  </cols>
  <sheetData>
    <row r="1" spans="1:7" ht="15">
      <c r="A1" s="89" t="s">
        <v>46</v>
      </c>
      <c r="B1" s="89"/>
      <c r="C1" s="89"/>
      <c r="D1" s="89"/>
      <c r="E1" s="89"/>
      <c r="F1" s="89"/>
      <c r="G1" t="s">
        <v>69</v>
      </c>
    </row>
    <row r="2" spans="1:6" ht="30.75" customHeight="1">
      <c r="A2" s="90" t="s">
        <v>68</v>
      </c>
      <c r="B2" s="90"/>
      <c r="C2" s="90"/>
      <c r="D2" s="90"/>
      <c r="E2" s="90"/>
      <c r="F2" s="90"/>
    </row>
    <row r="4" spans="1:18" s="12" customFormat="1" ht="43.5" customHeight="1">
      <c r="A4" s="14" t="s">
        <v>8</v>
      </c>
      <c r="B4" s="91" t="s">
        <v>0</v>
      </c>
      <c r="C4" s="91"/>
      <c r="D4" s="76" t="s">
        <v>16</v>
      </c>
      <c r="E4" s="76" t="s">
        <v>59</v>
      </c>
      <c r="F4" s="76" t="s">
        <v>19</v>
      </c>
      <c r="G4" s="76" t="s">
        <v>17</v>
      </c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5" t="s">
        <v>41</v>
      </c>
      <c r="C5" s="85"/>
      <c r="D5" s="16">
        <v>2000</v>
      </c>
      <c r="E5" s="16" t="s">
        <v>60</v>
      </c>
      <c r="F5" s="77"/>
      <c r="G5" s="54">
        <f>ROUND(D5*F5,2)</f>
        <v>0</v>
      </c>
      <c r="H5" s="3"/>
      <c r="I5" s="3"/>
      <c r="J5" s="52"/>
      <c r="K5" s="52"/>
      <c r="L5" s="52"/>
      <c r="M5" s="52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52"/>
      <c r="K6" s="52"/>
      <c r="L6" s="52"/>
      <c r="M6" s="52"/>
      <c r="N6" s="4"/>
      <c r="O6" s="4"/>
      <c r="P6" s="4"/>
      <c r="Q6" s="4"/>
      <c r="R6" s="4"/>
    </row>
    <row r="7" spans="1:18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52"/>
      <c r="K7" s="52"/>
      <c r="L7" s="52"/>
      <c r="M7" s="52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4"/>
      <c r="O8" s="4"/>
      <c r="P8" s="4"/>
      <c r="Q8" s="4"/>
      <c r="R8" s="4"/>
    </row>
    <row r="9" spans="1:18" ht="38.25">
      <c r="A9" s="17"/>
      <c r="B9" s="28" t="s">
        <v>12</v>
      </c>
      <c r="C9" s="29" t="s">
        <v>11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66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92" t="s">
        <v>38</v>
      </c>
      <c r="C11" s="93"/>
      <c r="D11" s="18">
        <v>3000</v>
      </c>
      <c r="E11" s="18" t="s">
        <v>60</v>
      </c>
      <c r="F11" s="78"/>
      <c r="G11" s="54">
        <f>ROUND(D11*F11,2)</f>
        <v>0</v>
      </c>
      <c r="H11" s="52"/>
      <c r="I11" s="52"/>
      <c r="J11" s="52"/>
      <c r="K11" s="52"/>
      <c r="L11" s="52"/>
      <c r="M11" s="52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5" t="s">
        <v>41</v>
      </c>
      <c r="C12" s="85"/>
      <c r="D12" s="16">
        <v>1000</v>
      </c>
      <c r="E12" s="16" t="s">
        <v>60</v>
      </c>
      <c r="F12" s="77"/>
      <c r="G12" s="54">
        <f>ROUND(D12*F12,2)</f>
        <v>0</v>
      </c>
      <c r="H12" s="52"/>
      <c r="I12" s="52"/>
      <c r="J12" s="52"/>
      <c r="K12" s="52"/>
      <c r="L12" s="52"/>
      <c r="M12" s="52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4"/>
      <c r="O13" s="4"/>
      <c r="P13" s="4"/>
      <c r="Q13" s="4"/>
      <c r="R13" s="4"/>
    </row>
    <row r="14" spans="1:18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4"/>
      <c r="O15" s="4"/>
      <c r="P15" s="4"/>
      <c r="Q15" s="4"/>
      <c r="R15" s="4"/>
    </row>
    <row r="16" spans="1:18" ht="38.25">
      <c r="A16" s="17"/>
      <c r="B16" s="32" t="s">
        <v>12</v>
      </c>
      <c r="C16" s="29" t="s">
        <v>13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92" t="s">
        <v>37</v>
      </c>
      <c r="C18" s="93"/>
      <c r="D18" s="18">
        <v>2000</v>
      </c>
      <c r="E18" s="18" t="s">
        <v>60</v>
      </c>
      <c r="F18" s="78"/>
      <c r="G18" s="54">
        <f>ROUND(D18*F18,2)</f>
        <v>0</v>
      </c>
      <c r="H18" s="52"/>
      <c r="I18" s="52"/>
      <c r="J18" s="52"/>
      <c r="K18" s="52"/>
      <c r="L18" s="52"/>
      <c r="M18" s="52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5" t="s">
        <v>41</v>
      </c>
      <c r="C19" s="85"/>
      <c r="D19" s="16">
        <v>500</v>
      </c>
      <c r="E19" s="16" t="s">
        <v>60</v>
      </c>
      <c r="F19" s="77"/>
      <c r="G19" s="54">
        <f>ROUND(D19*F19,2)</f>
        <v>0</v>
      </c>
      <c r="H19" s="52"/>
      <c r="I19" s="52"/>
      <c r="J19" s="52"/>
      <c r="K19" s="52"/>
      <c r="L19" s="52"/>
      <c r="M19" s="52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4"/>
      <c r="O20" s="4"/>
      <c r="P20" s="4"/>
      <c r="Q20" s="4"/>
      <c r="R20" s="4"/>
    </row>
    <row r="21" spans="1:18" ht="38.25">
      <c r="A21" s="17"/>
      <c r="B21" s="32" t="s">
        <v>12</v>
      </c>
      <c r="C21" s="29" t="s">
        <v>13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92" t="s">
        <v>39</v>
      </c>
      <c r="C23" s="93"/>
      <c r="D23" s="18">
        <v>1500</v>
      </c>
      <c r="E23" s="18" t="s">
        <v>60</v>
      </c>
      <c r="F23" s="78"/>
      <c r="G23" s="54">
        <f>ROUND(D23*F23,2)</f>
        <v>0</v>
      </c>
      <c r="H23" s="52"/>
      <c r="I23" s="52"/>
      <c r="J23" s="52"/>
      <c r="K23" s="52"/>
      <c r="L23" s="52"/>
      <c r="M23" s="52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5" t="s">
        <v>42</v>
      </c>
      <c r="C24" s="85"/>
      <c r="D24" s="16">
        <v>300</v>
      </c>
      <c r="E24" s="16" t="s">
        <v>60</v>
      </c>
      <c r="F24" s="77"/>
      <c r="G24" s="54">
        <f>ROUND(D24*F24,2)</f>
        <v>0</v>
      </c>
      <c r="H24" s="52"/>
      <c r="I24" s="52"/>
      <c r="J24" s="52"/>
      <c r="K24" s="52"/>
      <c r="L24" s="52"/>
      <c r="M24" s="52"/>
      <c r="N24" s="4"/>
      <c r="O24" s="4"/>
      <c r="P24" s="4"/>
      <c r="Q24" s="4"/>
      <c r="R24" s="4"/>
    </row>
    <row r="25" spans="1:18" ht="25.5">
      <c r="A25" s="17"/>
      <c r="B25" s="68" t="s">
        <v>56</v>
      </c>
      <c r="C25" s="29" t="s">
        <v>55</v>
      </c>
      <c r="D25" s="18"/>
      <c r="E25" s="18"/>
      <c r="F25" s="36"/>
      <c r="G25" s="55"/>
      <c r="H25" s="52"/>
      <c r="I25" s="52"/>
      <c r="J25" s="52"/>
      <c r="K25" s="52"/>
      <c r="L25" s="52"/>
      <c r="M25" s="52"/>
      <c r="N25" s="4"/>
      <c r="O25" s="4"/>
      <c r="P25" s="4"/>
      <c r="Q25" s="4"/>
      <c r="R25" s="4"/>
    </row>
    <row r="26" spans="1:18" ht="25.5">
      <c r="A26" s="17"/>
      <c r="B26" s="32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4"/>
      <c r="O26" s="4"/>
      <c r="P26" s="4"/>
      <c r="Q26" s="4"/>
      <c r="R26" s="4"/>
    </row>
    <row r="27" spans="1:18" ht="38.25">
      <c r="A27" s="19"/>
      <c r="B27" s="32" t="s">
        <v>12</v>
      </c>
      <c r="C27" s="29" t="s">
        <v>54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4"/>
      <c r="O27" s="4"/>
      <c r="P27" s="4"/>
      <c r="Q27" s="4"/>
      <c r="R27" s="4"/>
    </row>
    <row r="28" spans="1:18" ht="30" customHeight="1">
      <c r="A28" s="19" t="s">
        <v>35</v>
      </c>
      <c r="B28" s="94" t="s">
        <v>40</v>
      </c>
      <c r="C28" s="95"/>
      <c r="D28" s="26">
        <v>500</v>
      </c>
      <c r="E28" s="26" t="s">
        <v>60</v>
      </c>
      <c r="F28" s="78"/>
      <c r="G28" s="54">
        <f>ROUND(D28*F28,2)</f>
        <v>0</v>
      </c>
      <c r="H28" s="52"/>
      <c r="I28" s="52"/>
      <c r="J28" s="52"/>
      <c r="K28" s="52"/>
      <c r="L28" s="52"/>
      <c r="M28" s="52"/>
      <c r="N28" s="4"/>
      <c r="O28" s="4"/>
      <c r="P28" s="4"/>
      <c r="Q28" s="4"/>
      <c r="R28" s="4"/>
    </row>
    <row r="29" spans="1:18" ht="49.5" customHeight="1">
      <c r="A29" s="20" t="s">
        <v>5</v>
      </c>
      <c r="B29" s="88" t="s">
        <v>70</v>
      </c>
      <c r="C29" s="88"/>
      <c r="D29" s="27">
        <v>5500</v>
      </c>
      <c r="E29" s="16" t="s">
        <v>60</v>
      </c>
      <c r="F29" s="79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15" t="s">
        <v>57</v>
      </c>
      <c r="B30" s="96" t="s">
        <v>63</v>
      </c>
      <c r="C30" s="96"/>
      <c r="D30" s="16">
        <v>150</v>
      </c>
      <c r="E30" s="16" t="s">
        <v>61</v>
      </c>
      <c r="F30" s="77"/>
      <c r="G30" s="54">
        <f>ROUND(D30*F30,2)</f>
        <v>0</v>
      </c>
      <c r="H30" s="24"/>
      <c r="I30" s="24"/>
      <c r="J30" s="24"/>
    </row>
    <row r="31" spans="1:10" ht="25.5">
      <c r="A31" s="41"/>
      <c r="B31" s="72" t="s">
        <v>64</v>
      </c>
      <c r="C31" s="73" t="s">
        <v>65</v>
      </c>
      <c r="D31" s="18"/>
      <c r="E31" s="18"/>
      <c r="F31" s="18"/>
      <c r="G31" s="55"/>
      <c r="H31" s="4"/>
      <c r="I31" s="4"/>
      <c r="J31" s="4"/>
    </row>
    <row r="32" spans="1:10" ht="15">
      <c r="A32" s="41"/>
      <c r="B32" s="72" t="s">
        <v>56</v>
      </c>
      <c r="C32" s="73" t="s">
        <v>66</v>
      </c>
      <c r="D32" s="18"/>
      <c r="E32" s="18"/>
      <c r="F32" s="18"/>
      <c r="G32" s="55"/>
      <c r="H32" s="4"/>
      <c r="I32" s="4"/>
      <c r="J32" s="4"/>
    </row>
    <row r="33" spans="1:10" ht="25.5">
      <c r="A33" s="17"/>
      <c r="B33" s="74" t="s">
        <v>12</v>
      </c>
      <c r="C33" s="73" t="s">
        <v>67</v>
      </c>
      <c r="D33" s="26"/>
      <c r="E33" s="26"/>
      <c r="F33" s="26"/>
      <c r="G33" s="37"/>
      <c r="H33" s="4"/>
      <c r="I33" s="4"/>
      <c r="J33" s="4"/>
    </row>
    <row r="34" spans="1:10" ht="18">
      <c r="A34" s="21"/>
      <c r="B34" s="22"/>
      <c r="C34" s="23" t="s">
        <v>18</v>
      </c>
      <c r="D34" s="80">
        <f>SUM(G5:G30)</f>
        <v>0</v>
      </c>
      <c r="E34" s="81"/>
      <c r="F34" s="81"/>
      <c r="G34" s="82"/>
      <c r="H34" s="45"/>
      <c r="I34" s="4"/>
      <c r="J34" s="4"/>
    </row>
    <row r="35" spans="1:10" ht="18">
      <c r="A35" s="21"/>
      <c r="B35" s="22"/>
      <c r="C35" s="23" t="s">
        <v>21</v>
      </c>
      <c r="D35" s="80">
        <f>D34-D36</f>
        <v>0</v>
      </c>
      <c r="E35" s="81"/>
      <c r="F35" s="81"/>
      <c r="G35" s="82"/>
      <c r="H35" s="7"/>
      <c r="I35" s="4"/>
      <c r="J35" s="4"/>
    </row>
    <row r="36" spans="1:10" ht="18">
      <c r="A36" s="21"/>
      <c r="B36" s="22"/>
      <c r="C36" s="23" t="s">
        <v>20</v>
      </c>
      <c r="D36" s="80">
        <f>D34/1.23</f>
        <v>0</v>
      </c>
      <c r="E36" s="81"/>
      <c r="F36" s="81"/>
      <c r="G36" s="82"/>
      <c r="H36" s="7"/>
      <c r="I36" s="4"/>
      <c r="J36" s="4"/>
    </row>
    <row r="37" spans="2:10" ht="15">
      <c r="B37" s="52"/>
      <c r="C37" s="52"/>
      <c r="D37" s="8"/>
      <c r="E37" s="8"/>
      <c r="F37" s="2"/>
      <c r="G37" s="4"/>
      <c r="H37" s="4"/>
      <c r="I37" s="4"/>
      <c r="J37" s="4"/>
    </row>
    <row r="38" spans="2:10" ht="15">
      <c r="B38" s="52"/>
      <c r="C38" s="52"/>
      <c r="D38" s="8"/>
      <c r="E38" s="8"/>
      <c r="F38" s="2"/>
      <c r="G38" s="4"/>
      <c r="H38" s="4"/>
      <c r="I38" s="4"/>
      <c r="J38" s="4"/>
    </row>
    <row r="39" spans="2:10" ht="15">
      <c r="B39" s="52"/>
      <c r="C39" s="52"/>
      <c r="D39" s="8"/>
      <c r="E39" s="8"/>
      <c r="F39" s="2"/>
      <c r="G39" s="4"/>
      <c r="H39" s="4"/>
      <c r="I39" s="4"/>
      <c r="J39" s="4"/>
    </row>
    <row r="40" spans="2:10" ht="15">
      <c r="B40" s="52"/>
      <c r="C40" s="52"/>
      <c r="D40" s="8"/>
      <c r="E40" s="8"/>
      <c r="F40" s="2"/>
      <c r="G40" s="4"/>
      <c r="H40" s="4"/>
      <c r="I40" s="4"/>
      <c r="J40" s="4"/>
    </row>
    <row r="41" spans="2:10" ht="15">
      <c r="B41" s="52"/>
      <c r="C41" s="52"/>
      <c r="D41" s="8"/>
      <c r="E41" s="8"/>
      <c r="F41" s="2"/>
      <c r="G41" s="4"/>
      <c r="H41" s="4"/>
      <c r="I41" s="4"/>
      <c r="J41" s="4"/>
    </row>
    <row r="42" spans="2:10" ht="15">
      <c r="B42" s="52"/>
      <c r="C42" s="52"/>
      <c r="D42" s="8"/>
      <c r="E42" s="8"/>
      <c r="F42" s="2"/>
      <c r="G42" s="4"/>
      <c r="H42" s="4"/>
      <c r="I42" s="4"/>
      <c r="J42" s="4"/>
    </row>
    <row r="43" spans="2:10" ht="15">
      <c r="B43" s="52"/>
      <c r="C43" s="52"/>
      <c r="D43" s="8"/>
      <c r="E43" s="8"/>
      <c r="F43" s="2"/>
      <c r="G43" s="4"/>
      <c r="H43" s="4"/>
      <c r="I43" s="4"/>
      <c r="J43" s="4"/>
    </row>
    <row r="44" spans="2:10" ht="15">
      <c r="B44" s="52"/>
      <c r="C44" s="52"/>
      <c r="D44" s="8"/>
      <c r="E44" s="8"/>
      <c r="F44" s="2"/>
      <c r="G44" s="4"/>
      <c r="H44" s="4"/>
      <c r="I44" s="4"/>
      <c r="J44" s="4"/>
    </row>
    <row r="45" spans="2:10" ht="15">
      <c r="B45" s="52"/>
      <c r="C45" s="52"/>
      <c r="D45" s="8"/>
      <c r="E45" s="8"/>
      <c r="F45" s="2"/>
      <c r="G45" s="4"/>
      <c r="H45" s="4"/>
      <c r="I45" s="4"/>
      <c r="J45" s="4"/>
    </row>
    <row r="46" spans="2:10" ht="15">
      <c r="B46" s="52"/>
      <c r="C46" s="52"/>
      <c r="D46" s="8"/>
      <c r="E46" s="8"/>
      <c r="F46" s="2"/>
      <c r="G46" s="4"/>
      <c r="H46" s="4"/>
      <c r="I46" s="4"/>
      <c r="J46" s="4"/>
    </row>
    <row r="47" spans="2:10" ht="15">
      <c r="B47" s="52"/>
      <c r="C47" s="52"/>
      <c r="D47" s="8"/>
      <c r="E47" s="8"/>
      <c r="F47" s="2"/>
      <c r="G47" s="4"/>
      <c r="H47" s="4"/>
      <c r="I47" s="4"/>
      <c r="J47" s="4"/>
    </row>
    <row r="48" spans="2:10" ht="15">
      <c r="B48" s="52"/>
      <c r="C48" s="52"/>
      <c r="D48" s="8"/>
      <c r="E48" s="8"/>
      <c r="F48" s="2"/>
      <c r="G48" s="4"/>
      <c r="H48" s="4"/>
      <c r="I48" s="4"/>
      <c r="J48" s="4"/>
    </row>
    <row r="49" spans="2:10" ht="15">
      <c r="B49" s="52"/>
      <c r="C49" s="52"/>
      <c r="D49" s="8"/>
      <c r="E49" s="8"/>
      <c r="F49" s="2"/>
      <c r="G49" s="4"/>
      <c r="H49" s="4"/>
      <c r="I49" s="4"/>
      <c r="J49" s="4"/>
    </row>
    <row r="50" spans="2:10" ht="15">
      <c r="B50" s="52"/>
      <c r="C50" s="52"/>
      <c r="D50" s="8"/>
      <c r="E50" s="8"/>
      <c r="F50" s="2"/>
      <c r="G50" s="4"/>
      <c r="H50" s="4"/>
      <c r="I50" s="4"/>
      <c r="J50" s="4"/>
    </row>
    <row r="51" spans="2:10" ht="15">
      <c r="B51" s="52"/>
      <c r="C51" s="52"/>
      <c r="D51" s="8"/>
      <c r="E51" s="8"/>
      <c r="F51" s="2"/>
      <c r="G51" s="4"/>
      <c r="H51" s="4"/>
      <c r="I51" s="4"/>
      <c r="J51" s="4"/>
    </row>
  </sheetData>
  <sheetProtection sheet="1" formatCells="0" formatColumns="0" formatRows="0" selectLockedCells="1"/>
  <mergeCells count="16">
    <mergeCell ref="A1:F1"/>
    <mergeCell ref="A2:F2"/>
    <mergeCell ref="B4:C4"/>
    <mergeCell ref="B5:C5"/>
    <mergeCell ref="B11:C11"/>
    <mergeCell ref="B12:C12"/>
    <mergeCell ref="B30:C30"/>
    <mergeCell ref="D34:G34"/>
    <mergeCell ref="D35:G35"/>
    <mergeCell ref="D36:G36"/>
    <mergeCell ref="B18:C18"/>
    <mergeCell ref="B19:C19"/>
    <mergeCell ref="B23:C23"/>
    <mergeCell ref="B24:C24"/>
    <mergeCell ref="B28:C28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Łakomy</dc:creator>
  <cp:keywords/>
  <dc:description/>
  <cp:lastModifiedBy>Adamski Maciej</cp:lastModifiedBy>
  <cp:lastPrinted>2018-05-21T07:16:30Z</cp:lastPrinted>
  <dcterms:created xsi:type="dcterms:W3CDTF">2010-12-16T06:44:28Z</dcterms:created>
  <dcterms:modified xsi:type="dcterms:W3CDTF">2018-06-07T08:26:45Z</dcterms:modified>
  <cp:category/>
  <cp:version/>
  <cp:contentType/>
  <cp:contentStatus/>
</cp:coreProperties>
</file>